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12'!$A$1:$I$107</definedName>
  </definedNames>
  <calcPr fullCalcOnLoad="1"/>
</workbook>
</file>

<file path=xl/sharedStrings.xml><?xml version="1.0" encoding="utf-8"?>
<sst xmlns="http://schemas.openxmlformats.org/spreadsheetml/2006/main" count="127" uniqueCount="122">
  <si>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</si>
  <si>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</si>
  <si>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</si>
  <si>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</si>
  <si>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</si>
  <si>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</si>
  <si>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</si>
  <si>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</si>
  <si>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</si>
  <si>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</si>
  <si>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</si>
  <si>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</si>
  <si>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</si>
  <si>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</si>
  <si>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</si>
  <si>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</si>
  <si>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</si>
  <si>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</si>
  <si>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</si>
  <si>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</si>
  <si>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</si>
  <si>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</si>
  <si>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</si>
  <si>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</si>
  <si>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</si>
  <si>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</si>
  <si>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</si>
  <si>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</si>
  <si>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</si>
  <si>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</si>
  <si>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</si>
  <si>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</si>
  <si>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</si>
  <si>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</si>
  <si>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</si>
  <si>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</si>
  <si>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</si>
  <si>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</si>
  <si>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</si>
  <si>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</si>
  <si>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</si>
  <si>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</si>
  <si>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</si>
  <si>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</si>
  <si>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</si>
  <si>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</si>
  <si>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</si>
  <si>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</si>
  <si>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</si>
  <si>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</si>
  <si>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</si>
  <si>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</si>
  <si>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</si>
  <si>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</si>
  <si>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</si>
  <si>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</si>
  <si>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</si>
  <si>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</si>
  <si>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</si>
  <si>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</si>
  <si>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</si>
  <si>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</si>
  <si>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</si>
  <si>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</si>
  <si>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</si>
  <si>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</si>
  <si>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</si>
  <si>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</si>
  <si>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</si>
  <si>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</si>
  <si>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</si>
  <si>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</si>
  <si>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</si>
  <si>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</si>
  <si>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</si>
  <si>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</si>
  <si>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</si>
  <si>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</si>
  <si>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</si>
  <si>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</si>
  <si>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</si>
  <si>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</si>
  <si>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</si>
  <si>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</si>
  <si>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</si>
  <si>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</si>
  <si>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</si>
  <si>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</si>
  <si>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</si>
  <si>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</si>
  <si>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</si>
  <si>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</si>
  <si>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</si>
  <si>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</si>
  <si>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</si>
  <si>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</si>
  <si>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</si>
  <si>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</si>
  <si>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</si>
  <si>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</si>
  <si>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</si>
  <si>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</si>
  <si>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</si>
  <si>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</si>
  <si>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</si>
  <si>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</si>
  <si>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</si>
  <si>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</si>
  <si>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</si>
  <si>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</si>
  <si>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</si>
  <si>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</si>
  <si>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</si>
  <si>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</si>
  <si>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</si>
  <si>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</si>
  <si>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</si>
  <si>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</si>
  <si>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</si>
  <si>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Відсоток виконання до плану 6 місяців</t>
  </si>
  <si>
    <t>Залишок призначень до плану 6 місяців</t>
  </si>
  <si>
    <t>Касові видатки станом на 20.06.18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</si>
</sst>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0" fillId="47" borderId="8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7" fillId="3" borderId="0" applyNumberFormat="0" applyBorder="0" applyAlignment="0" applyProtection="0"/>
    <xf numFmtId="0" fontId="6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3" fillId="47" borderId="12" applyNumberFormat="0" applyAlignment="0" applyProtection="0"/>
    <xf numFmtId="0" fontId="19" fillId="0" borderId="13" applyNumberFormat="0" applyFill="0" applyAlignment="0" applyProtection="0"/>
    <xf numFmtId="0" fontId="64" fillId="51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2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8" fillId="0" borderId="14" xfId="112" applyNumberFormat="1" applyFont="1" applyFill="1" applyBorder="1" applyAlignment="1">
      <alignment horizontal="center" vertical="center" wrapText="1"/>
      <protection/>
    </xf>
    <xf numFmtId="0" fontId="38" fillId="0" borderId="14" xfId="112" applyFont="1" applyBorder="1">
      <alignment/>
      <protection/>
    </xf>
    <xf numFmtId="0" fontId="38" fillId="0" borderId="14" xfId="0" applyFont="1" applyFill="1" applyBorder="1" applyAlignment="1">
      <alignment vertical="top" wrapText="1"/>
    </xf>
    <xf numFmtId="4" fontId="38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4" fontId="39" fillId="0" borderId="14" xfId="107" applyNumberFormat="1" applyFont="1" applyFill="1" applyBorder="1" applyAlignment="1">
      <alignment horizontal="center"/>
      <protection/>
    </xf>
    <xf numFmtId="4" fontId="40" fillId="0" borderId="14" xfId="107" applyNumberFormat="1" applyFont="1" applyFill="1" applyBorder="1" applyAlignment="1">
      <alignment horizontal="center"/>
      <protection/>
    </xf>
    <xf numFmtId="0" fontId="32" fillId="53" borderId="0" xfId="112" applyFont="1" applyFill="1" applyBorder="1" applyAlignment="1">
      <alignment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41" fillId="0" borderId="14" xfId="0" applyNumberFormat="1" applyFont="1" applyFill="1" applyBorder="1" applyAlignment="1">
      <alignment horizontal="right"/>
    </xf>
    <xf numFmtId="4" fontId="0" fillId="0" borderId="14" xfId="112" applyNumberFormat="1" applyFont="1" applyBorder="1">
      <alignment/>
      <protection/>
    </xf>
    <xf numFmtId="4" fontId="42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194" fontId="33" fillId="53" borderId="14" xfId="0" applyNumberFormat="1" applyFont="1" applyFill="1" applyBorder="1" applyAlignment="1">
      <alignment horizontal="left" vertical="center" wrapText="1"/>
    </xf>
    <xf numFmtId="0" fontId="34" fillId="53" borderId="14" xfId="113" applyFont="1" applyFill="1" applyBorder="1" applyAlignment="1">
      <alignment vertical="top" wrapText="1"/>
      <protection/>
    </xf>
    <xf numFmtId="194" fontId="33" fillId="53" borderId="14" xfId="113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34" fillId="53" borderId="14" xfId="94" applyNumberFormat="1" applyFont="1" applyFill="1" applyBorder="1" applyAlignment="1">
      <alignment horizontal="center" vertical="center"/>
      <protection/>
    </xf>
    <xf numFmtId="0" fontId="28" fillId="0" borderId="14" xfId="112" applyFont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/>
    </xf>
    <xf numFmtId="0" fontId="44" fillId="0" borderId="14" xfId="112" applyFont="1" applyBorder="1">
      <alignment/>
      <protection/>
    </xf>
    <xf numFmtId="194" fontId="45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194" fontId="30" fillId="0" borderId="14" xfId="0" applyNumberFormat="1" applyFont="1" applyFill="1" applyBorder="1" applyAlignment="1">
      <alignment horizontal="right" wrapText="1"/>
    </xf>
    <xf numFmtId="194" fontId="45" fillId="0" borderId="14" xfId="113" applyNumberFormat="1" applyFont="1" applyFill="1" applyBorder="1" applyAlignment="1">
      <alignment horizontal="right" wrapText="1"/>
      <protection/>
    </xf>
    <xf numFmtId="194" fontId="46" fillId="0" borderId="14" xfId="0" applyNumberFormat="1" applyFont="1" applyFill="1" applyBorder="1" applyAlignment="1">
      <alignment horizontal="right" wrapText="1"/>
    </xf>
    <xf numFmtId="0" fontId="27" fillId="0" borderId="14" xfId="112" applyFont="1" applyFill="1" applyBorder="1" applyAlignment="1">
      <alignment horizontal="center"/>
      <protection/>
    </xf>
    <xf numFmtId="0" fontId="47" fillId="53" borderId="14" xfId="0" applyFont="1" applyFill="1" applyBorder="1" applyAlignment="1">
      <alignment wrapText="1"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4" fontId="48" fillId="0" borderId="14" xfId="107" applyNumberFormat="1" applyFont="1" applyFill="1" applyBorder="1" applyAlignment="1">
      <alignment horizontal="center"/>
      <protection/>
    </xf>
    <xf numFmtId="0" fontId="49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186" fontId="33" fillId="0" borderId="16" xfId="112" applyNumberFormat="1" applyFont="1" applyFill="1" applyBorder="1" applyAlignment="1">
      <alignment horizontal="center"/>
      <protection/>
    </xf>
    <xf numFmtId="186" fontId="33" fillId="0" borderId="20" xfId="112" applyNumberFormat="1" applyFont="1" applyFill="1" applyBorder="1" applyAlignment="1">
      <alignment horizontal="center"/>
      <protection/>
    </xf>
    <xf numFmtId="186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J2" sqref="J1:AE16384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31" width="0" style="2" hidden="1" customWidth="1"/>
    <col min="32" max="16384" width="9.33203125" style="2" customWidth="1"/>
  </cols>
  <sheetData>
    <row r="1" spans="4:7" ht="74.25" customHeight="1" hidden="1">
      <c r="D1" s="100" t="s">
        <v>14</v>
      </c>
      <c r="E1" s="101"/>
      <c r="F1" s="24"/>
      <c r="G1" s="24"/>
    </row>
    <row r="2" spans="3:7" ht="39.75" customHeight="1">
      <c r="C2" s="80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2" t="s">
        <v>3</v>
      </c>
      <c r="B7" s="13"/>
      <c r="C7" s="102" t="s">
        <v>0</v>
      </c>
      <c r="D7" s="93" t="s">
        <v>1</v>
      </c>
      <c r="E7" s="93" t="s">
        <v>19</v>
      </c>
      <c r="F7" s="93" t="s">
        <v>113</v>
      </c>
      <c r="G7" s="14" t="s">
        <v>114</v>
      </c>
      <c r="H7" s="105" t="s">
        <v>121</v>
      </c>
      <c r="I7" s="82" t="s">
        <v>2</v>
      </c>
      <c r="J7" s="84" t="s">
        <v>119</v>
      </c>
    </row>
    <row r="8" spans="1:25" ht="39.75" customHeight="1">
      <c r="A8" s="102"/>
      <c r="B8" s="1" t="s">
        <v>20</v>
      </c>
      <c r="C8" s="102"/>
      <c r="D8" s="93"/>
      <c r="E8" s="93"/>
      <c r="F8" s="93"/>
      <c r="G8" s="53" t="s">
        <v>115</v>
      </c>
      <c r="H8" s="106"/>
      <c r="I8" s="83"/>
      <c r="J8" s="85"/>
      <c r="L8" s="88" t="s">
        <v>120</v>
      </c>
      <c r="M8" s="82" t="s">
        <v>26</v>
      </c>
      <c r="N8" s="84" t="s">
        <v>27</v>
      </c>
      <c r="O8" s="82" t="s">
        <v>28</v>
      </c>
      <c r="P8" s="82" t="s">
        <v>29</v>
      </c>
      <c r="Q8" s="82" t="s">
        <v>30</v>
      </c>
      <c r="R8" s="82" t="s">
        <v>31</v>
      </c>
      <c r="S8" s="82" t="s">
        <v>32</v>
      </c>
      <c r="T8" s="82" t="s">
        <v>33</v>
      </c>
      <c r="U8" s="82" t="s">
        <v>34</v>
      </c>
      <c r="V8" s="82" t="s">
        <v>35</v>
      </c>
      <c r="W8" s="82" t="s">
        <v>36</v>
      </c>
      <c r="X8" s="82" t="s">
        <v>37</v>
      </c>
      <c r="Y8" s="82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89"/>
      <c r="M9" s="83"/>
      <c r="N9" s="85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15" customFormat="1" ht="19.5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18">
      <c r="A11" s="5">
        <v>1</v>
      </c>
      <c r="B11" s="6"/>
      <c r="C11" s="7" t="s">
        <v>4</v>
      </c>
      <c r="D11" s="8">
        <f>D12+D29</f>
        <v>93300208.80999999</v>
      </c>
      <c r="E11" s="8">
        <f>E12+E29</f>
        <v>54847147.29</v>
      </c>
      <c r="F11" s="8">
        <f>F12+F29</f>
        <v>38453061.51999999</v>
      </c>
      <c r="G11" s="8">
        <f>G12+G29</f>
        <v>38453061.51999999</v>
      </c>
      <c r="H11" s="8">
        <f>H12+H29</f>
        <v>36006951.01</v>
      </c>
      <c r="I11" s="38">
        <f aca="true" t="shared" si="0" ref="I11:I18">H11/D11*100</f>
        <v>38.59257280262458</v>
      </c>
      <c r="J11" s="38">
        <f>(H11/(M11+N11+O11+P11+Q11+R11))*100</f>
        <v>148.73052405844987</v>
      </c>
      <c r="K11" s="41"/>
      <c r="L11" s="50">
        <f>M11+N11+O11+P11+Q11+R11-H12</f>
        <v>4587255.890000001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3366524.91</v>
      </c>
      <c r="P11" s="47">
        <f t="shared" si="1"/>
        <v>5097560.18</v>
      </c>
      <c r="Q11" s="47">
        <f t="shared" si="1"/>
        <v>4224154.15</v>
      </c>
      <c r="R11" s="47">
        <f t="shared" si="1"/>
        <v>4338484.15</v>
      </c>
      <c r="S11" s="47">
        <f t="shared" si="1"/>
        <v>6079154.15</v>
      </c>
      <c r="T11" s="47">
        <f t="shared" si="1"/>
        <v>5757154.15</v>
      </c>
      <c r="U11" s="47">
        <f t="shared" si="1"/>
        <v>5706418.15</v>
      </c>
      <c r="V11" s="47">
        <f t="shared" si="1"/>
        <v>5267154.15</v>
      </c>
      <c r="W11" s="47">
        <f t="shared" si="1"/>
        <v>4360954.15</v>
      </c>
      <c r="X11" s="47">
        <f t="shared" si="1"/>
        <v>3466789.15</v>
      </c>
      <c r="Y11" s="48">
        <f>SUM(M11:X11)</f>
        <v>54847147.28999999</v>
      </c>
      <c r="Z11" s="49">
        <f>Y11-D12</f>
        <v>0</v>
      </c>
    </row>
    <row r="12" spans="1:26" ht="18">
      <c r="A12" s="9"/>
      <c r="B12" s="10"/>
      <c r="C12" s="36" t="s">
        <v>7</v>
      </c>
      <c r="D12" s="37">
        <f>SUM(D13:D20)+D21</f>
        <v>54847147.29</v>
      </c>
      <c r="E12" s="37">
        <f>SUM(E13:E20)+E21</f>
        <v>54847147.29</v>
      </c>
      <c r="F12" s="37"/>
      <c r="G12" s="37"/>
      <c r="H12" s="37">
        <f>H13+H16+H17+H18+H21</f>
        <v>19622267.5</v>
      </c>
      <c r="I12" s="17">
        <f t="shared" si="0"/>
        <v>35.776277289771876</v>
      </c>
      <c r="J12" s="94">
        <f>((H13+H16+H17+H18)/(M12+N12+O12+P12+Q12+R12))*100</f>
        <v>72.50530430142742</v>
      </c>
      <c r="L12" s="46">
        <f>(M12+N12+O12+P12+Q12+R12)-(H13+H16+H17+H18)</f>
        <v>2780465.990000001</v>
      </c>
      <c r="M12" s="45">
        <v>250000</v>
      </c>
      <c r="N12" s="45">
        <v>932800</v>
      </c>
      <c r="O12" s="45">
        <v>942800</v>
      </c>
      <c r="P12" s="45">
        <f>942800+1000000-1122330-89264+2342000</f>
        <v>3073206</v>
      </c>
      <c r="Q12" s="45">
        <f>942800+2000000+200000-500000+57000</f>
        <v>2699800</v>
      </c>
      <c r="R12" s="45">
        <f>942800+2500000-217670-1011000</f>
        <v>2214130</v>
      </c>
      <c r="S12" s="45">
        <f>942800+3000000+400000+500000+1011000-2399000</f>
        <v>3454800</v>
      </c>
      <c r="T12" s="45">
        <f>942800+2750000+240000</f>
        <v>3932800</v>
      </c>
      <c r="U12" s="45">
        <f>942800+2250000+500000+89264</f>
        <v>3782064</v>
      </c>
      <c r="V12" s="45">
        <f>942800+2500000</f>
        <v>3442800</v>
      </c>
      <c r="W12" s="45">
        <f>936600+1500000</f>
        <v>2436600</v>
      </c>
      <c r="X12" s="45">
        <f>342435+900000</f>
        <v>1242435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</f>
        <v>4817054</v>
      </c>
      <c r="I13" s="17">
        <f t="shared" si="0"/>
        <v>26.17964130434783</v>
      </c>
      <c r="J13" s="9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</f>
        <v>668989.6799999999</v>
      </c>
      <c r="I16" s="17">
        <f t="shared" si="0"/>
        <v>11.161361406787012</v>
      </c>
      <c r="J16" s="9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</f>
        <v>1647935.27</v>
      </c>
      <c r="I17" s="17">
        <f t="shared" si="0"/>
        <v>43.706767786740784</v>
      </c>
      <c r="J17" s="9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9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90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6">
      <c r="A21" s="30"/>
      <c r="B21" s="31"/>
      <c r="C21" s="32" t="s">
        <v>21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12289997.49</v>
      </c>
      <c r="I21" s="33">
        <f>H21/D21*100</f>
        <v>46.47747326472715</v>
      </c>
      <c r="J21" s="97">
        <f>(H21/(M21+N21+O21+P21+Q21+R21))*100</f>
        <v>87.18296694123582</v>
      </c>
      <c r="L21" s="51">
        <f>(M21+N21+O21+P21+Q21+R21)-H21</f>
        <v>1806789.9000000004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</f>
        <v>2124354.1500000004</v>
      </c>
      <c r="S21" s="45">
        <f>5124354.15-3000000+500000</f>
        <v>2624354.1500000004</v>
      </c>
      <c r="T21" s="45">
        <f>5324354.15-3500000</f>
        <v>1824354.1500000004</v>
      </c>
      <c r="U21" s="45">
        <f>4924354.15-3000000</f>
        <v>1924354.1500000004</v>
      </c>
      <c r="V21" s="45">
        <f>4324354.15-2500000</f>
        <v>1824354.1500000004</v>
      </c>
      <c r="W21" s="45">
        <f>3424354.15-1500000</f>
        <v>1924354.15</v>
      </c>
      <c r="X21" s="45">
        <f>3124354.15-900000</f>
        <v>2224354.15</v>
      </c>
      <c r="Y21" s="46">
        <f t="shared" si="2"/>
        <v>26442912.29</v>
      </c>
      <c r="Z21" s="49">
        <f>Y21-D21</f>
        <v>0</v>
      </c>
    </row>
    <row r="22" spans="1:26" s="29" customFormat="1" ht="18">
      <c r="A22" s="26"/>
      <c r="B22" s="27"/>
      <c r="C22" s="20" t="s">
        <v>8</v>
      </c>
      <c r="D22" s="21">
        <f aca="true" t="shared" si="4" ref="D22:D28">E22</f>
        <v>7482817.5</v>
      </c>
      <c r="E22" s="21">
        <f>6996363.05+20486454.45-100000-19900000</f>
        <v>7482817.5</v>
      </c>
      <c r="F22" s="21"/>
      <c r="G22" s="21"/>
      <c r="H22" s="21">
        <f>88816.34+83807+156466.99+142148.3+401527+150358.86+339375.78+15784.83+403050+514007+596420.64+220250+57292.8+368900+360900+173932.16</f>
        <v>4073037.7</v>
      </c>
      <c r="I22" s="21">
        <f aca="true" t="shared" si="5" ref="I22:I28">H22/D22*100</f>
        <v>54.431872753812314</v>
      </c>
      <c r="J22" s="98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8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8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6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</f>
        <v>288633.32999999996</v>
      </c>
      <c r="I25" s="21">
        <f t="shared" si="5"/>
        <v>21.04954122258187</v>
      </c>
      <c r="J25" s="98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/>
      <c r="I26" s="40">
        <f t="shared" si="5"/>
        <v>0</v>
      </c>
      <c r="J26" s="98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54">
      <c r="A28" s="26"/>
      <c r="B28" s="27"/>
      <c r="C28" s="20" t="s">
        <v>23</v>
      </c>
      <c r="D28" s="21">
        <f t="shared" si="4"/>
        <v>8642125.64</v>
      </c>
      <c r="E28" s="21">
        <v>8642125.64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</f>
        <v>7928326.46</v>
      </c>
      <c r="I28" s="21">
        <f t="shared" si="5"/>
        <v>91.74046745286614</v>
      </c>
      <c r="J28" s="9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">
      <c r="A29" s="26"/>
      <c r="B29" s="27"/>
      <c r="C29" s="54" t="s">
        <v>39</v>
      </c>
      <c r="D29" s="55">
        <f aca="true" t="shared" si="6" ref="D29:D78">E29+F29</f>
        <v>38453061.51999999</v>
      </c>
      <c r="E29" s="21"/>
      <c r="F29" s="55">
        <f aca="true" t="shared" si="7" ref="F29:F78">G29</f>
        <v>38453061.51999999</v>
      </c>
      <c r="G29" s="55">
        <f>SUM(G30:G78)</f>
        <v>38453061.51999999</v>
      </c>
      <c r="H29" s="55">
        <f>SUM(H30:H78)</f>
        <v>16384683.51</v>
      </c>
      <c r="I29" s="55">
        <f>H29/D29*100</f>
        <v>42.60956829530489</v>
      </c>
      <c r="J29" s="81">
        <f>(H29/(M29+N29+O29+P29+Q29+R29))*100</f>
        <v>91.42492906779692</v>
      </c>
      <c r="L29" s="51">
        <f>(M29+N29+O29+P29+Q29+R29)-H29</f>
        <v>1536778.040000001</v>
      </c>
      <c r="M29" s="66">
        <f>SUM(M30:M78)</f>
        <v>0</v>
      </c>
      <c r="N29" s="66">
        <f aca="true" t="shared" si="8" ref="N29:X29">SUM(N30:N78)</f>
        <v>0</v>
      </c>
      <c r="O29" s="74">
        <f t="shared" si="8"/>
        <v>2214750</v>
      </c>
      <c r="P29" s="74">
        <f t="shared" si="8"/>
        <v>8459111.27</v>
      </c>
      <c r="Q29" s="74">
        <f t="shared" si="8"/>
        <v>4443535.74</v>
      </c>
      <c r="R29" s="74">
        <f t="shared" si="8"/>
        <v>2804064.54</v>
      </c>
      <c r="S29" s="74">
        <f t="shared" si="8"/>
        <v>10019901.600000001</v>
      </c>
      <c r="T29" s="74">
        <f t="shared" si="8"/>
        <v>2197741</v>
      </c>
      <c r="U29" s="74">
        <f t="shared" si="8"/>
        <v>4840665</v>
      </c>
      <c r="V29" s="74">
        <f t="shared" si="8"/>
        <v>2379039</v>
      </c>
      <c r="W29" s="74">
        <f t="shared" si="8"/>
        <v>1021753.37</v>
      </c>
      <c r="X29" s="74">
        <f t="shared" si="8"/>
        <v>72500</v>
      </c>
      <c r="Y29" s="46">
        <f t="shared" si="2"/>
        <v>38453061.52</v>
      </c>
      <c r="Z29" s="49">
        <f aca="true" t="shared" si="9" ref="Z29:Z92">Y29-D29</f>
        <v>0</v>
      </c>
    </row>
    <row r="30" spans="1:26" ht="18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</f>
        <v>26000</v>
      </c>
      <c r="I30" s="17">
        <f aca="true" t="shared" si="10" ref="I30:I95">H30/D30*100</f>
        <v>17.333333333333336</v>
      </c>
      <c r="J30" s="52">
        <f>(H30/(M30+N30+O30+P30+Q30+R30))*100</f>
        <v>100</v>
      </c>
      <c r="L30" s="46">
        <f>(M30+N30+O30+P30+Q30+R30)-H30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/>
      <c r="S30" s="70"/>
      <c r="T30" s="70">
        <f>138000-14000</f>
        <v>124000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94">(H31/(M31+N31+O31+P31+Q31+R31))*100</f>
        <v>100</v>
      </c>
      <c r="L31" s="46">
        <f aca="true" t="shared" si="12" ref="L31:L94">(M31+N31+O31+P31+Q31+R31)-H31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18">
      <c r="A32" s="26"/>
      <c r="B32" s="27"/>
      <c r="C32" s="56" t="s">
        <v>42</v>
      </c>
      <c r="D32" s="17">
        <f t="shared" si="6"/>
        <v>600000</v>
      </c>
      <c r="E32" s="21"/>
      <c r="F32" s="57">
        <f t="shared" si="7"/>
        <v>600000</v>
      </c>
      <c r="G32" s="58">
        <v>600000</v>
      </c>
      <c r="H32" s="57">
        <f>30000+25000+490000</f>
        <v>545000</v>
      </c>
      <c r="I32" s="57">
        <f t="shared" si="10"/>
        <v>90.83333333333333</v>
      </c>
      <c r="J32" s="52">
        <f t="shared" si="11"/>
        <v>100</v>
      </c>
      <c r="L32" s="46">
        <f t="shared" si="12"/>
        <v>0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</f>
        <v>55000</v>
      </c>
      <c r="T32" s="70"/>
      <c r="U32" s="71"/>
      <c r="V32" s="71">
        <f>175000-175000</f>
        <v>0</v>
      </c>
      <c r="W32" s="71"/>
      <c r="X32" s="71"/>
      <c r="Y32" s="46">
        <f t="shared" si="2"/>
        <v>600000</v>
      </c>
      <c r="Z32" s="49">
        <f t="shared" si="9"/>
        <v>0</v>
      </c>
    </row>
    <row r="33" spans="1:26" ht="18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v>115000</v>
      </c>
      <c r="R33" s="70"/>
      <c r="S33" s="70"/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18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/>
      <c r="I34" s="39">
        <f t="shared" si="10"/>
        <v>0</v>
      </c>
      <c r="J34" s="52" t="e">
        <f t="shared" si="11"/>
        <v>#DIV/0!</v>
      </c>
      <c r="L34" s="46">
        <f t="shared" si="12"/>
        <v>0</v>
      </c>
      <c r="M34" s="13"/>
      <c r="N34" s="13"/>
      <c r="O34" s="70"/>
      <c r="P34" s="70"/>
      <c r="Q34" s="70"/>
      <c r="R34" s="70"/>
      <c r="S34" s="70">
        <v>650000</v>
      </c>
      <c r="T34" s="70"/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18">
      <c r="A35" s="26"/>
      <c r="B35" s="27"/>
      <c r="C35" s="56" t="s">
        <v>45</v>
      </c>
      <c r="D35" s="17">
        <f t="shared" si="6"/>
        <v>789000</v>
      </c>
      <c r="E35" s="21"/>
      <c r="F35" s="57">
        <f t="shared" si="7"/>
        <v>789000</v>
      </c>
      <c r="G35" s="57">
        <v>789000</v>
      </c>
      <c r="H35" s="57">
        <f>700000</f>
        <v>700000</v>
      </c>
      <c r="I35" s="17">
        <f t="shared" si="10"/>
        <v>88.71989860583017</v>
      </c>
      <c r="J35" s="52">
        <f t="shared" si="11"/>
        <v>100</v>
      </c>
      <c r="L35" s="46">
        <f t="shared" si="12"/>
        <v>0</v>
      </c>
      <c r="M35" s="13"/>
      <c r="N35" s="13"/>
      <c r="O35" s="70"/>
      <c r="P35" s="70"/>
      <c r="Q35" s="70">
        <f>789000-89000</f>
        <v>700000</v>
      </c>
      <c r="R35" s="70"/>
      <c r="S35" s="70">
        <f>89000</f>
        <v>89000</v>
      </c>
      <c r="T35" s="70"/>
      <c r="U35" s="71"/>
      <c r="V35" s="71"/>
      <c r="W35" s="71"/>
      <c r="X35" s="71"/>
      <c r="Y35" s="46">
        <f t="shared" si="2"/>
        <v>789000</v>
      </c>
      <c r="Z35" s="49">
        <f t="shared" si="9"/>
        <v>0</v>
      </c>
    </row>
    <row r="36" spans="1:26" ht="36">
      <c r="A36" s="26"/>
      <c r="B36" s="27"/>
      <c r="C36" s="56" t="s">
        <v>46</v>
      </c>
      <c r="D36" s="17">
        <f t="shared" si="6"/>
        <v>294000</v>
      </c>
      <c r="E36" s="21"/>
      <c r="F36" s="57">
        <f t="shared" si="7"/>
        <v>294000</v>
      </c>
      <c r="G36" s="57">
        <v>294000</v>
      </c>
      <c r="H36" s="57">
        <f>270000</f>
        <v>270000</v>
      </c>
      <c r="I36" s="17">
        <f t="shared" si="10"/>
        <v>91.83673469387756</v>
      </c>
      <c r="J36" s="52">
        <f t="shared" si="11"/>
        <v>91.83673469387756</v>
      </c>
      <c r="L36" s="46">
        <f t="shared" si="12"/>
        <v>24000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/>
      <c r="S36" s="70">
        <f>294000-294000</f>
        <v>0</v>
      </c>
      <c r="T36" s="70"/>
      <c r="U36" s="71"/>
      <c r="V36" s="71"/>
      <c r="W36" s="71"/>
      <c r="X36" s="71"/>
      <c r="Y36" s="46">
        <f t="shared" si="2"/>
        <v>294000</v>
      </c>
      <c r="Z36" s="49">
        <f t="shared" si="9"/>
        <v>0</v>
      </c>
    </row>
    <row r="37" spans="1:26" ht="18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12904.599999999977</v>
      </c>
      <c r="M37" s="13"/>
      <c r="N37" s="13"/>
      <c r="O37" s="70"/>
      <c r="P37" s="70"/>
      <c r="Q37" s="70">
        <f>330316.47-245411.87-72000</f>
        <v>12904.599999999977</v>
      </c>
      <c r="R37" s="70"/>
      <c r="S37" s="70">
        <f>245411.87+72000</f>
        <v>317411.87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6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</f>
        <v>166000</v>
      </c>
      <c r="T38" s="70"/>
      <c r="U38" s="71"/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v>11000</v>
      </c>
      <c r="I39" s="39">
        <f t="shared" si="10"/>
        <v>5.5</v>
      </c>
      <c r="J39" s="52">
        <f t="shared" si="11"/>
        <v>9.565217391304348</v>
      </c>
      <c r="L39" s="46">
        <f t="shared" si="12"/>
        <v>104000</v>
      </c>
      <c r="M39" s="13"/>
      <c r="N39" s="13"/>
      <c r="O39" s="70"/>
      <c r="P39" s="70">
        <v>15000</v>
      </c>
      <c r="Q39" s="70"/>
      <c r="R39" s="70">
        <v>100000</v>
      </c>
      <c r="S39" s="70"/>
      <c r="T39" s="70"/>
      <c r="U39" s="71">
        <v>85000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</f>
        <v>28000</v>
      </c>
      <c r="I40" s="17">
        <f t="shared" si="10"/>
        <v>14.000000000000002</v>
      </c>
      <c r="J40" s="52">
        <f t="shared" si="11"/>
        <v>24.347826086956523</v>
      </c>
      <c r="L40" s="46">
        <f t="shared" si="12"/>
        <v>87000</v>
      </c>
      <c r="M40" s="13"/>
      <c r="N40" s="13"/>
      <c r="O40" s="70"/>
      <c r="P40" s="70">
        <f>15000+13000</f>
        <v>28000</v>
      </c>
      <c r="Q40" s="70"/>
      <c r="R40" s="70">
        <f>100000-13000</f>
        <v>87000</v>
      </c>
      <c r="S40" s="70"/>
      <c r="T40" s="70"/>
      <c r="U40" s="71">
        <v>85000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18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v>15000</v>
      </c>
      <c r="I42" s="39">
        <f t="shared" si="10"/>
        <v>7.5</v>
      </c>
      <c r="J42" s="52">
        <f t="shared" si="11"/>
        <v>38.46153846153847</v>
      </c>
      <c r="L42" s="46">
        <f t="shared" si="12"/>
        <v>24000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v>76000</v>
      </c>
      <c r="T42" s="70"/>
      <c r="U42" s="71">
        <v>85000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18">
      <c r="A43" s="26"/>
      <c r="B43" s="27"/>
      <c r="C43" s="56" t="s">
        <v>53</v>
      </c>
      <c r="D43" s="17">
        <f t="shared" si="6"/>
        <v>450000</v>
      </c>
      <c r="E43" s="21"/>
      <c r="F43" s="57">
        <f t="shared" si="7"/>
        <v>450000</v>
      </c>
      <c r="G43" s="58">
        <v>450000</v>
      </c>
      <c r="H43" s="57">
        <f>26000</f>
        <v>26000</v>
      </c>
      <c r="I43" s="39">
        <f t="shared" si="10"/>
        <v>5.777777777777778</v>
      </c>
      <c r="J43" s="52">
        <f t="shared" si="11"/>
        <v>100</v>
      </c>
      <c r="L43" s="46">
        <f t="shared" si="12"/>
        <v>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</f>
        <v>224000</v>
      </c>
      <c r="T43" s="70"/>
      <c r="U43" s="71"/>
      <c r="V43" s="71">
        <v>200000</v>
      </c>
      <c r="W43" s="71"/>
      <c r="X43" s="71"/>
      <c r="Y43" s="46">
        <f t="shared" si="2"/>
        <v>450000</v>
      </c>
      <c r="Z43" s="49">
        <f t="shared" si="9"/>
        <v>0</v>
      </c>
    </row>
    <row r="44" spans="1:26" ht="18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5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18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5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 t="e">
        <f t="shared" si="11"/>
        <v>#DIV/0!</v>
      </c>
      <c r="L46" s="46">
        <f t="shared" si="12"/>
        <v>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</f>
        <v>145000</v>
      </c>
      <c r="T46" s="70"/>
      <c r="U46" s="71"/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18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18">
      <c r="A48" s="26"/>
      <c r="B48" s="27"/>
      <c r="C48" s="56" t="s">
        <v>58</v>
      </c>
      <c r="D48" s="17">
        <f t="shared" si="6"/>
        <v>600000</v>
      </c>
      <c r="E48" s="21"/>
      <c r="F48" s="57">
        <f t="shared" si="7"/>
        <v>600000</v>
      </c>
      <c r="G48" s="58">
        <v>600000</v>
      </c>
      <c r="H48" s="57">
        <f>414000</f>
        <v>414000</v>
      </c>
      <c r="I48" s="17">
        <f t="shared" si="10"/>
        <v>69</v>
      </c>
      <c r="J48" s="52">
        <f t="shared" si="11"/>
        <v>95.39170506912443</v>
      </c>
      <c r="L48" s="46">
        <f t="shared" si="12"/>
        <v>20000</v>
      </c>
      <c r="M48" s="13"/>
      <c r="N48" s="13"/>
      <c r="O48" s="70"/>
      <c r="P48" s="70">
        <f>400000-166000</f>
        <v>234000</v>
      </c>
      <c r="Q48" s="70"/>
      <c r="R48" s="70">
        <v>200000</v>
      </c>
      <c r="S48" s="70">
        <f>136000</f>
        <v>136000</v>
      </c>
      <c r="T48" s="70"/>
      <c r="U48" s="77"/>
      <c r="V48" s="77">
        <f>30000</f>
        <v>30000</v>
      </c>
      <c r="W48" s="71"/>
      <c r="X48" s="71"/>
      <c r="Y48" s="46">
        <f t="shared" si="2"/>
        <v>600000</v>
      </c>
      <c r="Z48" s="49">
        <f t="shared" si="9"/>
        <v>0</v>
      </c>
    </row>
    <row r="49" spans="1:26" ht="18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v>161000</v>
      </c>
      <c r="Q49" s="70"/>
      <c r="R49" s="70"/>
      <c r="S49" s="70"/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18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29100</v>
      </c>
      <c r="M50" s="13"/>
      <c r="N50" s="13"/>
      <c r="O50" s="70"/>
      <c r="P50" s="70"/>
      <c r="Q50" s="70">
        <f>283000-253900</f>
        <v>29100</v>
      </c>
      <c r="R50" s="70"/>
      <c r="S50" s="70">
        <f>253900</f>
        <v>253900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6">
      <c r="A51" s="26"/>
      <c r="B51" s="27"/>
      <c r="C51" s="56" t="s">
        <v>61</v>
      </c>
      <c r="D51" s="17">
        <f t="shared" si="6"/>
        <v>1192000</v>
      </c>
      <c r="E51" s="21"/>
      <c r="F51" s="57">
        <f t="shared" si="7"/>
        <v>1192000</v>
      </c>
      <c r="G51" s="57">
        <v>1192000</v>
      </c>
      <c r="H51" s="57">
        <f>940100+235033.86+16550</f>
        <v>1191683.8599999999</v>
      </c>
      <c r="I51" s="17">
        <f t="shared" si="10"/>
        <v>99.97347818791945</v>
      </c>
      <c r="J51" s="52">
        <f t="shared" si="11"/>
        <v>99.97347818791945</v>
      </c>
      <c r="L51" s="46">
        <f t="shared" si="12"/>
        <v>316.1400000001304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/>
      <c r="S51" s="70">
        <f>592000-340100-251900</f>
        <v>0</v>
      </c>
      <c r="T51" s="70"/>
      <c r="U51" s="71"/>
      <c r="V51" s="71"/>
      <c r="W51" s="71"/>
      <c r="X51" s="71"/>
      <c r="Y51" s="46">
        <f t="shared" si="2"/>
        <v>1192000</v>
      </c>
      <c r="Z51" s="49">
        <f t="shared" si="9"/>
        <v>0</v>
      </c>
    </row>
    <row r="52" spans="1:26" ht="18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93.8355076923077</v>
      </c>
      <c r="L52" s="46">
        <f t="shared" si="12"/>
        <v>20034.599999999977</v>
      </c>
      <c r="M52" s="13"/>
      <c r="N52" s="13"/>
      <c r="O52" s="70"/>
      <c r="P52" s="70">
        <v>325000</v>
      </c>
      <c r="Q52" s="70"/>
      <c r="R52" s="70"/>
      <c r="S52" s="70"/>
      <c r="T52" s="70"/>
      <c r="U52" s="71"/>
      <c r="V52" s="71"/>
      <c r="W52" s="71"/>
      <c r="X52" s="71"/>
      <c r="Y52" s="46">
        <f t="shared" si="2"/>
        <v>325000</v>
      </c>
      <c r="Z52" s="49">
        <f t="shared" si="9"/>
        <v>0</v>
      </c>
    </row>
    <row r="53" spans="1:26" ht="18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</f>
        <v>17000</v>
      </c>
      <c r="I53" s="17">
        <f t="shared" si="10"/>
        <v>6.800000000000001</v>
      </c>
      <c r="J53" s="52">
        <f t="shared" si="11"/>
        <v>100</v>
      </c>
      <c r="L53" s="46">
        <f t="shared" si="12"/>
        <v>0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</f>
        <v>663625.68</v>
      </c>
      <c r="I54" s="17">
        <f t="shared" si="10"/>
        <v>73.27568966583338</v>
      </c>
      <c r="J54" s="52">
        <f t="shared" si="11"/>
        <v>73.27568966583338</v>
      </c>
      <c r="L54" s="46">
        <f t="shared" si="12"/>
        <v>242030.31999999995</v>
      </c>
      <c r="M54" s="13"/>
      <c r="N54" s="13"/>
      <c r="O54" s="70">
        <v>760000</v>
      </c>
      <c r="P54" s="70"/>
      <c r="Q54" s="70"/>
      <c r="R54" s="70">
        <v>145656</v>
      </c>
      <c r="S54" s="70"/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6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38043.27</v>
      </c>
      <c r="M56" s="13"/>
      <c r="N56" s="13"/>
      <c r="O56" s="70"/>
      <c r="P56" s="70">
        <v>38043.27</v>
      </c>
      <c r="Q56" s="70"/>
      <c r="R56" s="70"/>
      <c r="S56" s="70"/>
      <c r="T56" s="70"/>
      <c r="U56" s="71"/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6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">
      <c r="A59" s="26"/>
      <c r="B59" s="27"/>
      <c r="C59" s="56" t="s">
        <v>69</v>
      </c>
      <c r="D59" s="17">
        <f t="shared" si="6"/>
        <v>1604835.45</v>
      </c>
      <c r="E59" s="21"/>
      <c r="F59" s="57">
        <f t="shared" si="7"/>
        <v>1604835.45</v>
      </c>
      <c r="G59" s="57">
        <f>1700000-95164.55</f>
        <v>1604835.45</v>
      </c>
      <c r="H59" s="57">
        <f>250000</f>
        <v>250000</v>
      </c>
      <c r="I59" s="17">
        <f t="shared" si="10"/>
        <v>15.577921088420624</v>
      </c>
      <c r="J59" s="52">
        <f t="shared" si="11"/>
        <v>100</v>
      </c>
      <c r="L59" s="46">
        <f t="shared" si="12"/>
        <v>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</f>
        <v>754835.45</v>
      </c>
      <c r="T59" s="70">
        <v>600000</v>
      </c>
      <c r="U59" s="71"/>
      <c r="V59" s="71"/>
      <c r="W59" s="71"/>
      <c r="X59" s="71"/>
      <c r="Y59" s="46">
        <f t="shared" si="2"/>
        <v>1604835.45</v>
      </c>
      <c r="Z59" s="49">
        <f t="shared" si="9"/>
        <v>0</v>
      </c>
    </row>
    <row r="60" spans="1:26" ht="18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99.99807331956444</v>
      </c>
      <c r="L61" s="46">
        <f t="shared" si="12"/>
        <v>75.71999999973923</v>
      </c>
      <c r="M61" s="13"/>
      <c r="N61" s="13"/>
      <c r="O61" s="70"/>
      <c r="P61" s="77">
        <f>3930000-1414490.15-46100-239000-570000+56675.72</f>
        <v>1717085.57</v>
      </c>
      <c r="Q61" s="77">
        <f>1414490.15+24000-274500</f>
        <v>1163990.15</v>
      </c>
      <c r="R61" s="77">
        <f>38000+1011000</f>
        <v>1049000</v>
      </c>
      <c r="S61" s="77">
        <f>3949000+46100+155000+395000+274500+43324.28-1011000-2450670</f>
        <v>1401254.2800000003</v>
      </c>
      <c r="T61" s="77">
        <f>22000+476741</f>
        <v>498741</v>
      </c>
      <c r="U61" s="77">
        <v>1973929</v>
      </c>
      <c r="V61" s="77">
        <v>175000</v>
      </c>
      <c r="W61" s="77"/>
      <c r="X61" s="71"/>
      <c r="Y61" s="46">
        <f t="shared" si="2"/>
        <v>7979000</v>
      </c>
      <c r="Z61" s="49">
        <f t="shared" si="9"/>
        <v>0</v>
      </c>
    </row>
    <row r="62" spans="1:26" ht="18">
      <c r="A62" s="26"/>
      <c r="B62" s="27"/>
      <c r="C62" s="56" t="s">
        <v>72</v>
      </c>
      <c r="D62" s="17">
        <f t="shared" si="6"/>
        <v>5524039</v>
      </c>
      <c r="E62" s="21"/>
      <c r="F62" s="57">
        <f t="shared" si="7"/>
        <v>5524039</v>
      </c>
      <c r="G62" s="57">
        <f>7024039-1500000</f>
        <v>5524039</v>
      </c>
      <c r="H62" s="57">
        <f>130000</f>
        <v>130000</v>
      </c>
      <c r="I62" s="79">
        <f t="shared" si="10"/>
        <v>2.353350510378366</v>
      </c>
      <c r="J62" s="52">
        <f t="shared" si="11"/>
        <v>100</v>
      </c>
      <c r="L62" s="46">
        <f t="shared" si="12"/>
        <v>0</v>
      </c>
      <c r="M62" s="13"/>
      <c r="N62" s="13"/>
      <c r="O62" s="70"/>
      <c r="P62" s="77">
        <f>50000+80000</f>
        <v>130000</v>
      </c>
      <c r="Q62" s="77"/>
      <c r="R62" s="77"/>
      <c r="S62" s="77">
        <f>3500000-80000</f>
        <v>3420000</v>
      </c>
      <c r="T62" s="77"/>
      <c r="U62" s="77"/>
      <c r="V62" s="77">
        <f>3474039-1500000</f>
        <v>1974039</v>
      </c>
      <c r="W62" s="71"/>
      <c r="X62" s="71"/>
      <c r="Y62" s="46">
        <f t="shared" si="2"/>
        <v>5524039</v>
      </c>
      <c r="Z62" s="49">
        <f t="shared" si="9"/>
        <v>0</v>
      </c>
    </row>
    <row r="63" spans="1:26" ht="18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 t="e">
        <f t="shared" si="11"/>
        <v>#DIV/0!</v>
      </c>
      <c r="L65" s="46">
        <f t="shared" si="12"/>
        <v>0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100</v>
      </c>
      <c r="L66" s="46">
        <f t="shared" si="12"/>
        <v>0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100</v>
      </c>
      <c r="L67" s="46">
        <f t="shared" si="12"/>
        <v>0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100</v>
      </c>
      <c r="L68" s="46">
        <f t="shared" si="12"/>
        <v>0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18">
      <c r="A69" s="26"/>
      <c r="B69" s="27"/>
      <c r="C69" s="60" t="s">
        <v>79</v>
      </c>
      <c r="D69" s="17">
        <f t="shared" si="6"/>
        <v>1245411.87</v>
      </c>
      <c r="E69" s="21"/>
      <c r="F69" s="57">
        <f t="shared" si="7"/>
        <v>1245411.87</v>
      </c>
      <c r="G69" s="61">
        <v>1245411.87</v>
      </c>
      <c r="H69" s="57">
        <f>1000000+56000+152290.4+14345.82</f>
        <v>1222636.22</v>
      </c>
      <c r="I69" s="17">
        <f t="shared" si="10"/>
        <v>98.17123551263406</v>
      </c>
      <c r="J69" s="52">
        <f t="shared" si="11"/>
        <v>99.72562969004893</v>
      </c>
      <c r="L69" s="46">
        <f t="shared" si="12"/>
        <v>3363.780000000028</v>
      </c>
      <c r="M69" s="13"/>
      <c r="N69" s="13"/>
      <c r="O69" s="73"/>
      <c r="P69" s="73">
        <f>56000+754588.13</f>
        <v>810588.13</v>
      </c>
      <c r="Q69" s="73">
        <f>245411.87+170000</f>
        <v>415411.87</v>
      </c>
      <c r="R69" s="73"/>
      <c r="S69" s="73">
        <f>1245411.87-56000-1000000-170000</f>
        <v>19411.87000000011</v>
      </c>
      <c r="T69" s="73"/>
      <c r="U69" s="71"/>
      <c r="V69" s="71"/>
      <c r="W69" s="71"/>
      <c r="X69" s="71"/>
      <c r="Y69" s="46">
        <f t="shared" si="2"/>
        <v>1245411.87</v>
      </c>
      <c r="Z69" s="49">
        <f t="shared" si="9"/>
        <v>0</v>
      </c>
    </row>
    <row r="70" spans="1:26" ht="18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115891.03</v>
      </c>
      <c r="M70" s="13"/>
      <c r="N70" s="13"/>
      <c r="O70" s="70"/>
      <c r="P70" s="70"/>
      <c r="Q70" s="70">
        <v>115891.03</v>
      </c>
      <c r="R70" s="70"/>
      <c r="S70" s="70"/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</f>
        <v>286000</v>
      </c>
      <c r="I71" s="17">
        <f t="shared" si="10"/>
        <v>48.52730077222716</v>
      </c>
      <c r="J71" s="52">
        <f t="shared" si="11"/>
        <v>48.52730077222716</v>
      </c>
      <c r="L71" s="46">
        <f t="shared" si="12"/>
        <v>303358.97</v>
      </c>
      <c r="M71" s="13"/>
      <c r="N71" s="13"/>
      <c r="O71" s="77">
        <v>286000</v>
      </c>
      <c r="P71" s="77">
        <f>298108.97+5250</f>
        <v>303358.97</v>
      </c>
      <c r="Q71" s="70"/>
      <c r="R71" s="70"/>
      <c r="S71" s="70"/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>
        <f t="shared" si="11"/>
        <v>0</v>
      </c>
      <c r="L72" s="46">
        <f t="shared" si="12"/>
        <v>120000</v>
      </c>
      <c r="M72" s="13"/>
      <c r="N72" s="13"/>
      <c r="O72" s="70"/>
      <c r="P72" s="70">
        <v>40000</v>
      </c>
      <c r="Q72" s="70">
        <f>250000-170000</f>
        <v>80000</v>
      </c>
      <c r="R72" s="70"/>
      <c r="S72" s="70">
        <f>110000+170000</f>
        <v>280000</v>
      </c>
      <c r="T72" s="70"/>
      <c r="U72" s="71"/>
      <c r="V72" s="71"/>
      <c r="W72" s="71"/>
      <c r="X72" s="71"/>
      <c r="Y72" s="46">
        <f t="shared" si="2"/>
        <v>400000</v>
      </c>
      <c r="Z72" s="49">
        <f t="shared" si="9"/>
        <v>0</v>
      </c>
    </row>
    <row r="73" spans="1:26" ht="36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7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6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7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9">
        <f t="shared" si="10"/>
        <v>64.06666666666668</v>
      </c>
      <c r="J75" s="52">
        <f t="shared" si="11"/>
        <v>98.23698549311639</v>
      </c>
      <c r="L75" s="46">
        <f t="shared" si="12"/>
        <v>17246.630000000005</v>
      </c>
      <c r="M75" s="13"/>
      <c r="N75" s="13"/>
      <c r="O75" s="70"/>
      <c r="P75" s="70"/>
      <c r="Q75" s="70">
        <f>1000000-44161.91</f>
        <v>955838.09</v>
      </c>
      <c r="R75" s="70">
        <v>22408.54</v>
      </c>
      <c r="S75" s="70"/>
      <c r="T75" s="70">
        <v>500000</v>
      </c>
      <c r="U75" s="71"/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5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7">SUM(M77:X77)</f>
        <v>72500</v>
      </c>
      <c r="Z77" s="49">
        <f t="shared" si="9"/>
        <v>0</v>
      </c>
    </row>
    <row r="78" spans="1:26" ht="18">
      <c r="A78" s="26"/>
      <c r="B78" s="27"/>
      <c r="C78" s="56" t="s">
        <v>88</v>
      </c>
      <c r="D78" s="17">
        <f t="shared" si="6"/>
        <v>45000</v>
      </c>
      <c r="E78" s="21"/>
      <c r="F78" s="57">
        <f t="shared" si="7"/>
        <v>45000</v>
      </c>
      <c r="G78" s="57">
        <v>45000</v>
      </c>
      <c r="H78" s="57"/>
      <c r="I78" s="39">
        <f t="shared" si="10"/>
        <v>0</v>
      </c>
      <c r="J78" s="52">
        <f t="shared" si="11"/>
        <v>0</v>
      </c>
      <c r="L78" s="46">
        <f t="shared" si="12"/>
        <v>45000</v>
      </c>
      <c r="M78" s="13"/>
      <c r="N78" s="13"/>
      <c r="O78" s="70"/>
      <c r="P78" s="70">
        <v>45000</v>
      </c>
      <c r="Q78" s="70"/>
      <c r="R78" s="70"/>
      <c r="S78" s="70"/>
      <c r="T78" s="70"/>
      <c r="U78" s="71"/>
      <c r="V78" s="71"/>
      <c r="W78" s="71"/>
      <c r="X78" s="71"/>
      <c r="Y78" s="46">
        <f t="shared" si="13"/>
        <v>45000</v>
      </c>
      <c r="Z78" s="49">
        <f t="shared" si="9"/>
        <v>0</v>
      </c>
    </row>
    <row r="79" spans="1:26" ht="18">
      <c r="A79" s="90" t="s">
        <v>89</v>
      </c>
      <c r="B79" s="91"/>
      <c r="C79" s="91"/>
      <c r="D79" s="91"/>
      <c r="E79" s="91"/>
      <c r="F79" s="91"/>
      <c r="G79" s="92"/>
      <c r="H79" s="13"/>
      <c r="I79" s="55"/>
      <c r="J79" s="52"/>
      <c r="L79" s="46">
        <f t="shared" si="12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46">
        <f t="shared" si="13"/>
        <v>0</v>
      </c>
      <c r="Z79" s="49">
        <f t="shared" si="9"/>
        <v>0</v>
      </c>
    </row>
    <row r="80" spans="1:26" ht="18">
      <c r="A80" s="5">
        <v>2</v>
      </c>
      <c r="B80" s="6"/>
      <c r="C80" s="7" t="s">
        <v>4</v>
      </c>
      <c r="D80" s="8">
        <f>E80+F80</f>
        <v>131616669.81</v>
      </c>
      <c r="E80" s="62"/>
      <c r="F80" s="8">
        <f>SUM(F81:F106)</f>
        <v>131616669.81</v>
      </c>
      <c r="G80" s="8">
        <f>SUM(G81:G106)</f>
        <v>131616669.81</v>
      </c>
      <c r="H80" s="8">
        <f>SUM(H81:H106)</f>
        <v>32389125.220000003</v>
      </c>
      <c r="I80" s="8">
        <f t="shared" si="10"/>
        <v>24.60868009102228</v>
      </c>
      <c r="J80" s="8">
        <f t="shared" si="11"/>
        <v>63.5384653604396</v>
      </c>
      <c r="L80" s="51">
        <f t="shared" si="12"/>
        <v>18586492.519999992</v>
      </c>
      <c r="M80" s="69">
        <f>SUM(M81:M106)</f>
        <v>0</v>
      </c>
      <c r="N80" s="69">
        <f aca="true" t="shared" si="14" ref="N80:X80">SUM(N81:N106)</f>
        <v>0</v>
      </c>
      <c r="O80" s="51">
        <f t="shared" si="14"/>
        <v>8050000</v>
      </c>
      <c r="P80" s="51">
        <f t="shared" si="14"/>
        <v>22284756.8</v>
      </c>
      <c r="Q80" s="51">
        <f t="shared" si="14"/>
        <v>9181800</v>
      </c>
      <c r="R80" s="51">
        <f t="shared" si="14"/>
        <v>11459060.940000001</v>
      </c>
      <c r="S80" s="51">
        <f t="shared" si="14"/>
        <v>12939502.09</v>
      </c>
      <c r="T80" s="51">
        <f t="shared" si="14"/>
        <v>15161967.76</v>
      </c>
      <c r="U80" s="51">
        <f t="shared" si="14"/>
        <v>10014200</v>
      </c>
      <c r="V80" s="51">
        <f t="shared" si="14"/>
        <v>10657714.8</v>
      </c>
      <c r="W80" s="51">
        <f t="shared" si="14"/>
        <v>16239760.6</v>
      </c>
      <c r="X80" s="51">
        <f t="shared" si="14"/>
        <v>15627906.82</v>
      </c>
      <c r="Y80" s="51">
        <f>SUM(M80:X80)</f>
        <v>131616669.81</v>
      </c>
      <c r="Z80" s="49">
        <f t="shared" si="9"/>
        <v>0</v>
      </c>
    </row>
    <row r="81" spans="1:26" ht="18">
      <c r="A81" s="63"/>
      <c r="B81" s="18"/>
      <c r="C81" s="56" t="s">
        <v>90</v>
      </c>
      <c r="D81" s="17">
        <f aca="true" t="shared" si="15" ref="D81:D106">E81+F81</f>
        <v>800000</v>
      </c>
      <c r="E81" s="21"/>
      <c r="F81" s="57">
        <f aca="true" t="shared" si="16" ref="F81:F106">G81</f>
        <v>800000</v>
      </c>
      <c r="G81" s="57">
        <v>800000</v>
      </c>
      <c r="H81" s="58"/>
      <c r="I81" s="39">
        <f t="shared" si="10"/>
        <v>0</v>
      </c>
      <c r="J81" s="52">
        <f t="shared" si="11"/>
        <v>0</v>
      </c>
      <c r="L81" s="46">
        <f t="shared" si="12"/>
        <v>800000</v>
      </c>
      <c r="M81" s="67"/>
      <c r="N81" s="67"/>
      <c r="O81" s="67"/>
      <c r="P81" s="67">
        <v>600000</v>
      </c>
      <c r="Q81" s="67">
        <v>200000</v>
      </c>
      <c r="R81" s="67"/>
      <c r="S81" s="67"/>
      <c r="T81" s="67"/>
      <c r="U81" s="67"/>
      <c r="V81" s="67"/>
      <c r="W81" s="67"/>
      <c r="X81" s="67"/>
      <c r="Y81" s="46">
        <f t="shared" si="13"/>
        <v>800000</v>
      </c>
      <c r="Z81" s="49">
        <f t="shared" si="9"/>
        <v>0</v>
      </c>
    </row>
    <row r="82" spans="1:26" ht="18">
      <c r="A82" s="63"/>
      <c r="B82" s="18"/>
      <c r="C82" s="76" t="s">
        <v>116</v>
      </c>
      <c r="D82" s="17">
        <f t="shared" si="15"/>
        <v>3000000</v>
      </c>
      <c r="E82" s="21"/>
      <c r="F82" s="57">
        <f t="shared" si="16"/>
        <v>3000000</v>
      </c>
      <c r="G82" s="57">
        <f>3000000</f>
        <v>3000000</v>
      </c>
      <c r="H82" s="58"/>
      <c r="I82" s="39"/>
      <c r="J82" s="52" t="e">
        <f t="shared" si="11"/>
        <v>#DIV/0!</v>
      </c>
      <c r="L82" s="46">
        <f t="shared" si="12"/>
        <v>0</v>
      </c>
      <c r="M82" s="67"/>
      <c r="N82" s="67"/>
      <c r="O82" s="67"/>
      <c r="P82" s="67"/>
      <c r="Q82" s="67"/>
      <c r="R82" s="67"/>
      <c r="S82" s="67"/>
      <c r="T82" s="67"/>
      <c r="U82" s="67"/>
      <c r="V82" s="78">
        <v>1000000</v>
      </c>
      <c r="W82" s="78">
        <v>2000000</v>
      </c>
      <c r="X82" s="67"/>
      <c r="Y82" s="46">
        <f t="shared" si="13"/>
        <v>3000000</v>
      </c>
      <c r="Z82" s="49">
        <f t="shared" si="9"/>
        <v>0</v>
      </c>
    </row>
    <row r="83" spans="1:26" ht="18">
      <c r="A83" s="63"/>
      <c r="B83" s="18"/>
      <c r="C83" s="56" t="s">
        <v>91</v>
      </c>
      <c r="D83" s="17">
        <f t="shared" si="15"/>
        <v>22000000</v>
      </c>
      <c r="E83" s="21"/>
      <c r="F83" s="57">
        <f t="shared" si="16"/>
        <v>22000000</v>
      </c>
      <c r="G83" s="57">
        <f>8000000-1000000+5000000+10000000</f>
        <v>22000000</v>
      </c>
      <c r="H83" s="58">
        <f>2500000+924670.32+19613.05+4000000+2000000+1200000</f>
        <v>10644283.37</v>
      </c>
      <c r="I83" s="17">
        <f t="shared" si="10"/>
        <v>48.38310622727272</v>
      </c>
      <c r="J83" s="52">
        <f t="shared" si="11"/>
        <v>98.87861932187644</v>
      </c>
      <c r="L83" s="46">
        <f t="shared" si="12"/>
        <v>120716.63000000082</v>
      </c>
      <c r="M83" s="67"/>
      <c r="N83" s="67"/>
      <c r="O83" s="67"/>
      <c r="P83" s="78">
        <v>3437500</v>
      </c>
      <c r="Q83" s="78">
        <f>3437500-2000000</f>
        <v>1437500</v>
      </c>
      <c r="R83" s="78">
        <f>90000+5000000+800000</f>
        <v>5890000</v>
      </c>
      <c r="S83" s="78">
        <f>5000000-800000</f>
        <v>4200000</v>
      </c>
      <c r="T83" s="78">
        <v>5000000</v>
      </c>
      <c r="U83" s="78">
        <v>35000</v>
      </c>
      <c r="V83" s="78"/>
      <c r="W83" s="78">
        <v>2000000</v>
      </c>
      <c r="X83" s="67"/>
      <c r="Y83" s="46">
        <f t="shared" si="13"/>
        <v>22000000</v>
      </c>
      <c r="Z83" s="49">
        <f t="shared" si="9"/>
        <v>0</v>
      </c>
    </row>
    <row r="84" spans="1:26" ht="18">
      <c r="A84" s="63"/>
      <c r="B84" s="18"/>
      <c r="C84" s="56" t="s">
        <v>92</v>
      </c>
      <c r="D84" s="17">
        <f t="shared" si="15"/>
        <v>1330000</v>
      </c>
      <c r="E84" s="21"/>
      <c r="F84" s="57">
        <f t="shared" si="16"/>
        <v>1330000</v>
      </c>
      <c r="G84" s="58">
        <f>1300000+30000</f>
        <v>1330000</v>
      </c>
      <c r="H84" s="58"/>
      <c r="I84" s="39">
        <f t="shared" si="10"/>
        <v>0</v>
      </c>
      <c r="J84" s="52">
        <f t="shared" si="11"/>
        <v>0</v>
      </c>
      <c r="L84" s="46">
        <f t="shared" si="12"/>
        <v>1070000</v>
      </c>
      <c r="M84" s="67"/>
      <c r="N84" s="67"/>
      <c r="O84" s="67"/>
      <c r="P84" s="78">
        <v>650000</v>
      </c>
      <c r="Q84" s="78">
        <v>130000</v>
      </c>
      <c r="R84" s="78">
        <f>260000+30000</f>
        <v>290000</v>
      </c>
      <c r="S84" s="78">
        <v>260000</v>
      </c>
      <c r="T84" s="67"/>
      <c r="U84" s="67"/>
      <c r="V84" s="67"/>
      <c r="W84" s="67"/>
      <c r="X84" s="67"/>
      <c r="Y84" s="46">
        <f t="shared" si="13"/>
        <v>1330000</v>
      </c>
      <c r="Z84" s="49">
        <f t="shared" si="9"/>
        <v>0</v>
      </c>
    </row>
    <row r="85" spans="1:26" ht="18">
      <c r="A85" s="63"/>
      <c r="B85" s="18"/>
      <c r="C85" s="56" t="s">
        <v>93</v>
      </c>
      <c r="D85" s="17">
        <f t="shared" si="15"/>
        <v>15600000</v>
      </c>
      <c r="E85" s="21"/>
      <c r="F85" s="57">
        <f t="shared" si="16"/>
        <v>15600000</v>
      </c>
      <c r="G85" s="57">
        <f>600000+15000000</f>
        <v>15600000</v>
      </c>
      <c r="H85" s="58"/>
      <c r="I85" s="39">
        <f t="shared" si="10"/>
        <v>0</v>
      </c>
      <c r="J85" s="52">
        <f t="shared" si="11"/>
        <v>0</v>
      </c>
      <c r="L85" s="46">
        <f t="shared" si="12"/>
        <v>400000</v>
      </c>
      <c r="M85" s="67"/>
      <c r="N85" s="67"/>
      <c r="O85" s="67"/>
      <c r="P85" s="67"/>
      <c r="Q85" s="67"/>
      <c r="R85" s="78">
        <f>600000+600000-800000</f>
        <v>400000</v>
      </c>
      <c r="S85" s="78">
        <f>6000000+800000</f>
        <v>6800000</v>
      </c>
      <c r="T85" s="78">
        <f>6000000</f>
        <v>6000000</v>
      </c>
      <c r="U85" s="78">
        <f>2400000</f>
        <v>2400000</v>
      </c>
      <c r="V85" s="67"/>
      <c r="W85" s="67"/>
      <c r="X85" s="67"/>
      <c r="Y85" s="46">
        <f t="shared" si="13"/>
        <v>15600000</v>
      </c>
      <c r="Z85" s="49">
        <f t="shared" si="9"/>
        <v>0</v>
      </c>
    </row>
    <row r="86" spans="1:26" ht="18">
      <c r="A86" s="63"/>
      <c r="B86" s="18"/>
      <c r="C86" s="56" t="s">
        <v>94</v>
      </c>
      <c r="D86" s="17">
        <f t="shared" si="15"/>
        <v>500000</v>
      </c>
      <c r="E86" s="21"/>
      <c r="F86" s="57">
        <f t="shared" si="16"/>
        <v>500000</v>
      </c>
      <c r="G86" s="58">
        <v>500000</v>
      </c>
      <c r="H86" s="58"/>
      <c r="I86" s="39">
        <f t="shared" si="10"/>
        <v>0</v>
      </c>
      <c r="J86" s="52">
        <f t="shared" si="11"/>
        <v>0</v>
      </c>
      <c r="L86" s="46">
        <f t="shared" si="12"/>
        <v>390000</v>
      </c>
      <c r="M86" s="67"/>
      <c r="N86" s="67"/>
      <c r="O86" s="67"/>
      <c r="P86" s="67"/>
      <c r="Q86" s="67">
        <f>200000-10000</f>
        <v>190000</v>
      </c>
      <c r="R86" s="67">
        <f>200000+10000-10000</f>
        <v>200000</v>
      </c>
      <c r="S86" s="67">
        <v>100000</v>
      </c>
      <c r="T86" s="67"/>
      <c r="U86" s="67">
        <f>10000</f>
        <v>10000</v>
      </c>
      <c r="V86" s="67"/>
      <c r="W86" s="67"/>
      <c r="X86" s="67"/>
      <c r="Y86" s="46">
        <f t="shared" si="13"/>
        <v>500000</v>
      </c>
      <c r="Z86" s="49">
        <f t="shared" si="9"/>
        <v>0</v>
      </c>
    </row>
    <row r="87" spans="1:26" ht="18">
      <c r="A87" s="63"/>
      <c r="B87" s="18"/>
      <c r="C87" s="56" t="s">
        <v>118</v>
      </c>
      <c r="D87" s="17">
        <f t="shared" si="15"/>
        <v>300000</v>
      </c>
      <c r="E87" s="21"/>
      <c r="F87" s="57">
        <f t="shared" si="16"/>
        <v>300000</v>
      </c>
      <c r="G87" s="58">
        <v>300000</v>
      </c>
      <c r="H87" s="58">
        <f>5291</f>
        <v>5291</v>
      </c>
      <c r="I87" s="17">
        <f t="shared" si="10"/>
        <v>1.7636666666666665</v>
      </c>
      <c r="J87" s="52">
        <f t="shared" si="11"/>
        <v>52.910000000000004</v>
      </c>
      <c r="L87" s="46">
        <f t="shared" si="12"/>
        <v>4709</v>
      </c>
      <c r="M87" s="67"/>
      <c r="N87" s="67"/>
      <c r="O87" s="67"/>
      <c r="P87" s="67"/>
      <c r="Q87" s="67"/>
      <c r="R87" s="67">
        <f>10000</f>
        <v>10000</v>
      </c>
      <c r="S87" s="67"/>
      <c r="T87" s="67"/>
      <c r="U87" s="67">
        <f>200000-10000</f>
        <v>190000</v>
      </c>
      <c r="V87" s="67">
        <v>100000</v>
      </c>
      <c r="W87" s="67"/>
      <c r="X87" s="67"/>
      <c r="Y87" s="46">
        <f t="shared" si="13"/>
        <v>300000</v>
      </c>
      <c r="Z87" s="49">
        <f t="shared" si="9"/>
        <v>0</v>
      </c>
    </row>
    <row r="88" spans="1:26" ht="18">
      <c r="A88" s="63"/>
      <c r="B88" s="18"/>
      <c r="C88" s="56" t="s">
        <v>95</v>
      </c>
      <c r="D88" s="17">
        <f t="shared" si="15"/>
        <v>3556000</v>
      </c>
      <c r="E88" s="21"/>
      <c r="F88" s="57">
        <f t="shared" si="16"/>
        <v>3556000</v>
      </c>
      <c r="G88" s="57">
        <v>3556000</v>
      </c>
      <c r="H88" s="58">
        <f>408764+2547908.4+34315.41</f>
        <v>2990987.81</v>
      </c>
      <c r="I88" s="17">
        <f t="shared" si="10"/>
        <v>84.11101827896513</v>
      </c>
      <c r="J88" s="52">
        <f t="shared" si="11"/>
        <v>98.16172661634394</v>
      </c>
      <c r="L88" s="46">
        <f t="shared" si="12"/>
        <v>56012.189999999944</v>
      </c>
      <c r="M88" s="67"/>
      <c r="N88" s="67"/>
      <c r="O88" s="67"/>
      <c r="P88" s="67">
        <f>2330000-1000000</f>
        <v>1330000</v>
      </c>
      <c r="Q88" s="67">
        <f>795000-500000+591000</f>
        <v>886000</v>
      </c>
      <c r="R88" s="67">
        <f>431000+400000</f>
        <v>831000</v>
      </c>
      <c r="S88" s="68"/>
      <c r="T88" s="67"/>
      <c r="U88" s="67"/>
      <c r="V88" s="67">
        <f>1000000-991000</f>
        <v>9000</v>
      </c>
      <c r="W88" s="67">
        <v>500000</v>
      </c>
      <c r="X88" s="67"/>
      <c r="Y88" s="46">
        <f t="shared" si="13"/>
        <v>3556000</v>
      </c>
      <c r="Z88" s="49">
        <f t="shared" si="9"/>
        <v>0</v>
      </c>
    </row>
    <row r="89" spans="1:26" ht="18">
      <c r="A89" s="63"/>
      <c r="B89" s="18"/>
      <c r="C89" s="56" t="s">
        <v>96</v>
      </c>
      <c r="D89" s="17">
        <f t="shared" si="15"/>
        <v>5963000</v>
      </c>
      <c r="E89" s="21"/>
      <c r="F89" s="57">
        <f t="shared" si="16"/>
        <v>5963000</v>
      </c>
      <c r="G89" s="57">
        <v>5963000</v>
      </c>
      <c r="H89" s="58"/>
      <c r="I89" s="39">
        <f t="shared" si="10"/>
        <v>0</v>
      </c>
      <c r="J89" s="52">
        <f t="shared" si="11"/>
        <v>0</v>
      </c>
      <c r="L89" s="46">
        <f t="shared" si="12"/>
        <v>1994050</v>
      </c>
      <c r="M89" s="67"/>
      <c r="N89" s="67"/>
      <c r="O89" s="67"/>
      <c r="P89" s="67">
        <f>1600000-600000</f>
        <v>1000000</v>
      </c>
      <c r="Q89" s="67">
        <f>630000-500000</f>
        <v>130000</v>
      </c>
      <c r="R89" s="67">
        <f>1864050-1000000</f>
        <v>864050</v>
      </c>
      <c r="S89" s="68"/>
      <c r="T89" s="67"/>
      <c r="U89" s="67">
        <v>1000000</v>
      </c>
      <c r="V89" s="67">
        <v>600000</v>
      </c>
      <c r="W89" s="67">
        <v>500000</v>
      </c>
      <c r="X89" s="67">
        <f>868950+1000000</f>
        <v>1868950</v>
      </c>
      <c r="Y89" s="46">
        <f t="shared" si="13"/>
        <v>5963000</v>
      </c>
      <c r="Z89" s="49">
        <f t="shared" si="9"/>
        <v>0</v>
      </c>
    </row>
    <row r="90" spans="1:26" ht="18">
      <c r="A90" s="63"/>
      <c r="B90" s="18"/>
      <c r="C90" s="56" t="s">
        <v>97</v>
      </c>
      <c r="D90" s="17">
        <f t="shared" si="15"/>
        <v>28621003</v>
      </c>
      <c r="E90" s="21"/>
      <c r="F90" s="57">
        <f t="shared" si="16"/>
        <v>28621003</v>
      </c>
      <c r="G90" s="57">
        <f>42821003-3000000-11200000</f>
        <v>28621003</v>
      </c>
      <c r="H90" s="58">
        <f>7000000+3000000</f>
        <v>10000000</v>
      </c>
      <c r="I90" s="17">
        <f t="shared" si="10"/>
        <v>34.939376513115214</v>
      </c>
      <c r="J90" s="52">
        <f t="shared" si="11"/>
        <v>64.93506493506493</v>
      </c>
      <c r="L90" s="46">
        <f t="shared" si="12"/>
        <v>5400000</v>
      </c>
      <c r="M90" s="67"/>
      <c r="N90" s="67"/>
      <c r="O90" s="77">
        <v>4200000</v>
      </c>
      <c r="P90" s="77">
        <v>8000000</v>
      </c>
      <c r="Q90" s="77">
        <f>7100000-5000000</f>
        <v>2100000</v>
      </c>
      <c r="R90" s="77">
        <f>5100000-4000000</f>
        <v>1100000</v>
      </c>
      <c r="S90" s="77">
        <f>5200000-5000000</f>
        <v>200000</v>
      </c>
      <c r="T90" s="77">
        <f>5080000-5000000</f>
        <v>80000</v>
      </c>
      <c r="U90" s="77">
        <v>5130000</v>
      </c>
      <c r="V90" s="77"/>
      <c r="W90" s="77">
        <f>5000000-3668958.4</f>
        <v>1331041.6</v>
      </c>
      <c r="X90" s="77">
        <f>11003+4000000+3668958.4-1200000</f>
        <v>6479961.4</v>
      </c>
      <c r="Y90" s="46">
        <f t="shared" si="13"/>
        <v>28621003</v>
      </c>
      <c r="Z90" s="49">
        <f t="shared" si="9"/>
        <v>0</v>
      </c>
    </row>
    <row r="91" spans="1:26" ht="18">
      <c r="A91" s="63"/>
      <c r="B91" s="18"/>
      <c r="C91" s="56" t="s">
        <v>117</v>
      </c>
      <c r="D91" s="17">
        <f t="shared" si="15"/>
        <v>500000</v>
      </c>
      <c r="E91" s="21"/>
      <c r="F91" s="57">
        <f t="shared" si="16"/>
        <v>500000</v>
      </c>
      <c r="G91" s="57">
        <f>500000</f>
        <v>500000</v>
      </c>
      <c r="H91" s="58"/>
      <c r="I91" s="17"/>
      <c r="J91" s="52" t="e">
        <f t="shared" si="11"/>
        <v>#DIV/0!</v>
      </c>
      <c r="L91" s="46">
        <f t="shared" si="12"/>
        <v>0</v>
      </c>
      <c r="M91" s="67"/>
      <c r="N91" s="67"/>
      <c r="O91" s="67"/>
      <c r="P91" s="67"/>
      <c r="Q91" s="67"/>
      <c r="R91" s="67"/>
      <c r="S91" s="67"/>
      <c r="T91" s="67"/>
      <c r="U91" s="77">
        <v>400000</v>
      </c>
      <c r="V91" s="77">
        <v>100000</v>
      </c>
      <c r="W91" s="67"/>
      <c r="X91" s="67"/>
      <c r="Y91" s="46">
        <f t="shared" si="13"/>
        <v>500000</v>
      </c>
      <c r="Z91" s="49">
        <f t="shared" si="9"/>
        <v>0</v>
      </c>
    </row>
    <row r="92" spans="1:26" ht="18">
      <c r="A92" s="63"/>
      <c r="B92" s="18"/>
      <c r="C92" s="56" t="s">
        <v>98</v>
      </c>
      <c r="D92" s="17">
        <f t="shared" si="15"/>
        <v>150000</v>
      </c>
      <c r="E92" s="21"/>
      <c r="F92" s="57">
        <f t="shared" si="16"/>
        <v>150000</v>
      </c>
      <c r="G92" s="57">
        <v>150000</v>
      </c>
      <c r="H92" s="58"/>
      <c r="I92" s="39">
        <f t="shared" si="10"/>
        <v>0</v>
      </c>
      <c r="J92" s="52">
        <f t="shared" si="11"/>
        <v>0</v>
      </c>
      <c r="L92" s="46">
        <f t="shared" si="12"/>
        <v>150000</v>
      </c>
      <c r="M92" s="67"/>
      <c r="N92" s="67"/>
      <c r="O92" s="67"/>
      <c r="P92" s="67"/>
      <c r="Q92" s="67">
        <v>150000</v>
      </c>
      <c r="R92" s="67"/>
      <c r="S92" s="67"/>
      <c r="T92" s="67"/>
      <c r="U92" s="67"/>
      <c r="V92" s="67"/>
      <c r="W92" s="67"/>
      <c r="X92" s="67"/>
      <c r="Y92" s="46">
        <f t="shared" si="13"/>
        <v>150000</v>
      </c>
      <c r="Z92" s="49">
        <f t="shared" si="9"/>
        <v>0</v>
      </c>
    </row>
    <row r="93" spans="1:26" ht="18">
      <c r="A93" s="63"/>
      <c r="B93" s="18"/>
      <c r="C93" s="56" t="s">
        <v>99</v>
      </c>
      <c r="D93" s="17">
        <f t="shared" si="15"/>
        <v>460000</v>
      </c>
      <c r="E93" s="21"/>
      <c r="F93" s="57">
        <f t="shared" si="16"/>
        <v>460000</v>
      </c>
      <c r="G93" s="58">
        <v>460000</v>
      </c>
      <c r="H93" s="58"/>
      <c r="I93" s="39">
        <f t="shared" si="10"/>
        <v>0</v>
      </c>
      <c r="J93" s="52">
        <f t="shared" si="11"/>
        <v>0</v>
      </c>
      <c r="L93" s="46">
        <f t="shared" si="12"/>
        <v>460000</v>
      </c>
      <c r="M93" s="67"/>
      <c r="N93" s="67"/>
      <c r="O93" s="67"/>
      <c r="P93" s="67"/>
      <c r="Q93" s="67">
        <v>210000</v>
      </c>
      <c r="R93" s="67">
        <v>250000</v>
      </c>
      <c r="S93" s="67"/>
      <c r="T93" s="67"/>
      <c r="U93" s="67"/>
      <c r="V93" s="67"/>
      <c r="W93" s="67"/>
      <c r="X93" s="67"/>
      <c r="Y93" s="46">
        <f t="shared" si="13"/>
        <v>460000</v>
      </c>
      <c r="Z93" s="49">
        <f aca="true" t="shared" si="17" ref="Z93:Z106">Y93-D93</f>
        <v>0</v>
      </c>
    </row>
    <row r="94" spans="1:26" ht="18">
      <c r="A94" s="63"/>
      <c r="B94" s="18"/>
      <c r="C94" s="56" t="s">
        <v>100</v>
      </c>
      <c r="D94" s="17">
        <f t="shared" si="15"/>
        <v>560000</v>
      </c>
      <c r="E94" s="21"/>
      <c r="F94" s="57">
        <f t="shared" si="16"/>
        <v>560000</v>
      </c>
      <c r="G94" s="58">
        <v>560000</v>
      </c>
      <c r="H94" s="58">
        <f>276237.6</f>
        <v>276237.6</v>
      </c>
      <c r="I94" s="17">
        <f t="shared" si="10"/>
        <v>49.32814285714285</v>
      </c>
      <c r="J94" s="52">
        <f t="shared" si="11"/>
        <v>49.32814285714285</v>
      </c>
      <c r="L94" s="46">
        <f t="shared" si="12"/>
        <v>283762.4</v>
      </c>
      <c r="M94" s="67"/>
      <c r="N94" s="67"/>
      <c r="O94" s="67"/>
      <c r="P94" s="67">
        <v>276237.6</v>
      </c>
      <c r="Q94" s="67">
        <v>176200</v>
      </c>
      <c r="R94" s="67">
        <v>107562.4</v>
      </c>
      <c r="S94" s="68"/>
      <c r="T94" s="67"/>
      <c r="U94" s="67"/>
      <c r="V94" s="67"/>
      <c r="W94" s="67"/>
      <c r="X94" s="67"/>
      <c r="Y94" s="46">
        <f t="shared" si="13"/>
        <v>560000</v>
      </c>
      <c r="Z94" s="49">
        <f t="shared" si="17"/>
        <v>0</v>
      </c>
    </row>
    <row r="95" spans="1:26" ht="18">
      <c r="A95" s="63"/>
      <c r="B95" s="18"/>
      <c r="C95" s="56" t="s">
        <v>101</v>
      </c>
      <c r="D95" s="17">
        <f t="shared" si="15"/>
        <v>680000</v>
      </c>
      <c r="E95" s="21"/>
      <c r="F95" s="57">
        <f t="shared" si="16"/>
        <v>680000</v>
      </c>
      <c r="G95" s="58">
        <v>680000</v>
      </c>
      <c r="H95" s="58"/>
      <c r="I95" s="39">
        <f t="shared" si="10"/>
        <v>0</v>
      </c>
      <c r="J95" s="52">
        <f aca="true" t="shared" si="18" ref="J95:J107">(H95/(M95+N95+O95+P95+Q95+R95))*100</f>
        <v>0</v>
      </c>
      <c r="L95" s="46">
        <f aca="true" t="shared" si="19" ref="L95:L107">(M95+N95+O95+P95+Q95+R95)-H95</f>
        <v>200000</v>
      </c>
      <c r="M95" s="67"/>
      <c r="N95" s="67"/>
      <c r="O95" s="67"/>
      <c r="P95" s="67"/>
      <c r="Q95" s="67">
        <v>100000</v>
      </c>
      <c r="R95" s="67">
        <v>100000</v>
      </c>
      <c r="S95" s="67">
        <v>100000</v>
      </c>
      <c r="T95" s="67">
        <v>100000</v>
      </c>
      <c r="U95" s="67">
        <v>100000</v>
      </c>
      <c r="V95" s="67">
        <v>180000</v>
      </c>
      <c r="W95" s="67"/>
      <c r="X95" s="67"/>
      <c r="Y95" s="46">
        <f t="shared" si="13"/>
        <v>680000</v>
      </c>
      <c r="Z95" s="49">
        <f t="shared" si="17"/>
        <v>0</v>
      </c>
    </row>
    <row r="96" spans="1:26" ht="18">
      <c r="A96" s="63"/>
      <c r="B96" s="18"/>
      <c r="C96" s="56" t="s">
        <v>102</v>
      </c>
      <c r="D96" s="17">
        <f t="shared" si="15"/>
        <v>8000000</v>
      </c>
      <c r="E96" s="21"/>
      <c r="F96" s="57">
        <f t="shared" si="16"/>
        <v>8000000</v>
      </c>
      <c r="G96" s="57">
        <v>8000000</v>
      </c>
      <c r="H96" s="58">
        <f>3276477.6+1727104.4</f>
        <v>5003582</v>
      </c>
      <c r="I96" s="17">
        <f aca="true" t="shared" si="20" ref="I96:I107">H96/D96*100</f>
        <v>62.544774999999994</v>
      </c>
      <c r="J96" s="52">
        <f t="shared" si="18"/>
        <v>73.58208823529412</v>
      </c>
      <c r="L96" s="46">
        <f t="shared" si="19"/>
        <v>1796418</v>
      </c>
      <c r="M96" s="67"/>
      <c r="N96" s="67"/>
      <c r="O96" s="67">
        <v>3850000</v>
      </c>
      <c r="P96" s="67">
        <f>2650000-1000000</f>
        <v>1650000</v>
      </c>
      <c r="Q96" s="67">
        <v>1100000</v>
      </c>
      <c r="R96" s="67">
        <v>200000</v>
      </c>
      <c r="S96" s="67">
        <v>200000</v>
      </c>
      <c r="T96" s="67"/>
      <c r="U96" s="67"/>
      <c r="V96" s="67">
        <v>1000000</v>
      </c>
      <c r="W96" s="67"/>
      <c r="X96" s="67"/>
      <c r="Y96" s="46">
        <f t="shared" si="13"/>
        <v>8000000</v>
      </c>
      <c r="Z96" s="49">
        <f t="shared" si="17"/>
        <v>0</v>
      </c>
    </row>
    <row r="97" spans="1:26" ht="36">
      <c r="A97" s="63"/>
      <c r="B97" s="18"/>
      <c r="C97" s="56" t="s">
        <v>103</v>
      </c>
      <c r="D97" s="17">
        <f t="shared" si="15"/>
        <v>1376503.16</v>
      </c>
      <c r="E97" s="21"/>
      <c r="F97" s="57">
        <f t="shared" si="16"/>
        <v>1376503.16</v>
      </c>
      <c r="G97" s="58">
        <v>1376503.16</v>
      </c>
      <c r="H97" s="58">
        <f>643647</f>
        <v>643647</v>
      </c>
      <c r="I97" s="17">
        <f t="shared" si="20"/>
        <v>46.75957300381352</v>
      </c>
      <c r="J97" s="52">
        <f t="shared" si="18"/>
        <v>46.75957300381352</v>
      </c>
      <c r="L97" s="46">
        <f t="shared" si="19"/>
        <v>732856.1599999999</v>
      </c>
      <c r="M97" s="67"/>
      <c r="N97" s="67"/>
      <c r="O97" s="67"/>
      <c r="P97" s="67">
        <v>643647</v>
      </c>
      <c r="Q97" s="67">
        <v>295000</v>
      </c>
      <c r="R97" s="67">
        <v>437856.16</v>
      </c>
      <c r="S97" s="68"/>
      <c r="T97" s="67"/>
      <c r="U97" s="67"/>
      <c r="V97" s="67"/>
      <c r="W97" s="67"/>
      <c r="X97" s="67"/>
      <c r="Y97" s="46">
        <f t="shared" si="13"/>
        <v>1376503.16</v>
      </c>
      <c r="Z97" s="49">
        <f t="shared" si="17"/>
        <v>0</v>
      </c>
    </row>
    <row r="98" spans="1:26" ht="18">
      <c r="A98" s="63"/>
      <c r="B98" s="18"/>
      <c r="C98" s="56" t="s">
        <v>104</v>
      </c>
      <c r="D98" s="17">
        <f t="shared" si="15"/>
        <v>2000000</v>
      </c>
      <c r="E98" s="21"/>
      <c r="F98" s="57">
        <f t="shared" si="16"/>
        <v>2000000</v>
      </c>
      <c r="G98" s="58">
        <v>2000000</v>
      </c>
      <c r="H98" s="58"/>
      <c r="I98" s="39">
        <f t="shared" si="20"/>
        <v>0</v>
      </c>
      <c r="J98" s="52">
        <f t="shared" si="18"/>
        <v>0</v>
      </c>
      <c r="L98" s="46">
        <f t="shared" si="19"/>
        <v>890004.5800000001</v>
      </c>
      <c r="M98" s="67"/>
      <c r="N98" s="67"/>
      <c r="O98" s="67"/>
      <c r="P98" s="67">
        <v>450000</v>
      </c>
      <c r="Q98" s="67">
        <v>359000</v>
      </c>
      <c r="R98" s="67">
        <f>400000-318995.42</f>
        <v>81004.58000000002</v>
      </c>
      <c r="S98" s="67">
        <v>350000</v>
      </c>
      <c r="T98" s="67">
        <v>341800</v>
      </c>
      <c r="U98" s="67">
        <v>99200</v>
      </c>
      <c r="V98" s="67"/>
      <c r="W98" s="67"/>
      <c r="X98" s="67">
        <v>318995.42</v>
      </c>
      <c r="Y98" s="46">
        <f t="shared" si="13"/>
        <v>2000000</v>
      </c>
      <c r="Z98" s="49">
        <f t="shared" si="17"/>
        <v>0</v>
      </c>
    </row>
    <row r="99" spans="1:26" ht="18">
      <c r="A99" s="63"/>
      <c r="B99" s="18"/>
      <c r="C99" s="56" t="s">
        <v>105</v>
      </c>
      <c r="D99" s="17">
        <f t="shared" si="15"/>
        <v>1050767.7600000007</v>
      </c>
      <c r="E99" s="21"/>
      <c r="F99" s="57">
        <f t="shared" si="16"/>
        <v>1050767.7600000007</v>
      </c>
      <c r="G99" s="58">
        <v>1050767.7600000007</v>
      </c>
      <c r="H99" s="58"/>
      <c r="I99" s="39">
        <f t="shared" si="20"/>
        <v>0</v>
      </c>
      <c r="J99" s="52">
        <f t="shared" si="18"/>
        <v>0</v>
      </c>
      <c r="L99" s="46">
        <f t="shared" si="19"/>
        <v>586885.2</v>
      </c>
      <c r="M99" s="67"/>
      <c r="N99" s="67"/>
      <c r="O99" s="67"/>
      <c r="P99" s="67">
        <f>430000-223714.8</f>
        <v>206285.2</v>
      </c>
      <c r="Q99" s="67">
        <v>150000</v>
      </c>
      <c r="R99" s="67">
        <v>230600</v>
      </c>
      <c r="S99" s="67">
        <v>200000</v>
      </c>
      <c r="T99" s="67">
        <v>40167.76</v>
      </c>
      <c r="U99" s="67"/>
      <c r="V99" s="67">
        <v>223714.8</v>
      </c>
      <c r="W99" s="67"/>
      <c r="X99" s="67"/>
      <c r="Y99" s="46">
        <f t="shared" si="13"/>
        <v>1050767.76</v>
      </c>
      <c r="Z99" s="49">
        <f t="shared" si="17"/>
        <v>0</v>
      </c>
    </row>
    <row r="100" spans="1:26" ht="18">
      <c r="A100" s="63"/>
      <c r="B100" s="18"/>
      <c r="C100" s="56" t="s">
        <v>106</v>
      </c>
      <c r="D100" s="17">
        <f t="shared" si="15"/>
        <v>676676.89</v>
      </c>
      <c r="E100" s="21"/>
      <c r="F100" s="57">
        <f t="shared" si="16"/>
        <v>676676.89</v>
      </c>
      <c r="G100" s="58">
        <v>676676.89</v>
      </c>
      <c r="H100" s="58"/>
      <c r="I100" s="39">
        <f t="shared" si="20"/>
        <v>0</v>
      </c>
      <c r="J100" s="52">
        <f t="shared" si="18"/>
        <v>0</v>
      </c>
      <c r="L100" s="46">
        <f t="shared" si="19"/>
        <v>585000</v>
      </c>
      <c r="M100" s="67"/>
      <c r="N100" s="67"/>
      <c r="O100" s="67"/>
      <c r="P100" s="67">
        <v>385000</v>
      </c>
      <c r="Q100" s="67">
        <v>100000</v>
      </c>
      <c r="R100" s="67">
        <v>100000</v>
      </c>
      <c r="S100" s="67">
        <v>91676.89</v>
      </c>
      <c r="T100" s="67"/>
      <c r="U100" s="67"/>
      <c r="V100" s="67"/>
      <c r="W100" s="67"/>
      <c r="X100" s="67"/>
      <c r="Y100" s="46">
        <f t="shared" si="13"/>
        <v>676676.89</v>
      </c>
      <c r="Z100" s="49">
        <f t="shared" si="17"/>
        <v>0</v>
      </c>
    </row>
    <row r="101" spans="1:26" ht="36">
      <c r="A101" s="63"/>
      <c r="B101" s="18"/>
      <c r="C101" s="56" t="s">
        <v>107</v>
      </c>
      <c r="D101" s="17">
        <f t="shared" si="15"/>
        <v>2450000</v>
      </c>
      <c r="E101" s="21"/>
      <c r="F101" s="57">
        <f t="shared" si="16"/>
        <v>2450000</v>
      </c>
      <c r="G101" s="58">
        <v>2450000</v>
      </c>
      <c r="H101" s="58">
        <f>597711</f>
        <v>597711</v>
      </c>
      <c r="I101" s="17">
        <f t="shared" si="20"/>
        <v>24.396367346938774</v>
      </c>
      <c r="J101" s="52">
        <f t="shared" si="18"/>
        <v>31.25817786114533</v>
      </c>
      <c r="L101" s="46">
        <f t="shared" si="19"/>
        <v>1314463.8</v>
      </c>
      <c r="M101" s="67"/>
      <c r="N101" s="67"/>
      <c r="O101" s="67"/>
      <c r="P101" s="67">
        <v>1186087</v>
      </c>
      <c r="Q101" s="67">
        <v>429100</v>
      </c>
      <c r="R101" s="67">
        <f>796987.8-500000</f>
        <v>296987.80000000005</v>
      </c>
      <c r="S101" s="67">
        <v>37825.2</v>
      </c>
      <c r="T101" s="67"/>
      <c r="U101" s="67"/>
      <c r="V101" s="67"/>
      <c r="W101" s="67"/>
      <c r="X101" s="67">
        <v>500000</v>
      </c>
      <c r="Y101" s="46">
        <f t="shared" si="13"/>
        <v>2450000</v>
      </c>
      <c r="Z101" s="49">
        <f t="shared" si="17"/>
        <v>0</v>
      </c>
    </row>
    <row r="102" spans="1:26" ht="36">
      <c r="A102" s="63"/>
      <c r="B102" s="18"/>
      <c r="C102" s="56" t="s">
        <v>108</v>
      </c>
      <c r="D102" s="17">
        <f t="shared" si="15"/>
        <v>9834000</v>
      </c>
      <c r="E102" s="21"/>
      <c r="F102" s="57">
        <f t="shared" si="16"/>
        <v>9834000</v>
      </c>
      <c r="G102" s="57">
        <v>9834000</v>
      </c>
      <c r="H102" s="58">
        <f>33264+9234+1620974.51</f>
        <v>1663472.51</v>
      </c>
      <c r="I102" s="17">
        <f t="shared" si="20"/>
        <v>16.91552277811674</v>
      </c>
      <c r="J102" s="52">
        <f t="shared" si="18"/>
        <v>97.85132411764705</v>
      </c>
      <c r="L102" s="46">
        <f t="shared" si="19"/>
        <v>36527.48999999999</v>
      </c>
      <c r="M102" s="67"/>
      <c r="N102" s="67"/>
      <c r="O102" s="67"/>
      <c r="P102" s="67">
        <f>2400000-1000000</f>
        <v>1400000</v>
      </c>
      <c r="Q102" s="67">
        <f>1000000-800000+100000</f>
        <v>300000</v>
      </c>
      <c r="R102" s="67"/>
      <c r="S102" s="67"/>
      <c r="T102" s="67">
        <v>3000000</v>
      </c>
      <c r="U102" s="67"/>
      <c r="V102" s="67">
        <f>1434000+1000000-100000</f>
        <v>2334000</v>
      </c>
      <c r="W102" s="67">
        <f>1000000+800000</f>
        <v>1800000</v>
      </c>
      <c r="X102" s="67">
        <v>1000000</v>
      </c>
      <c r="Y102" s="46">
        <f t="shared" si="13"/>
        <v>9834000</v>
      </c>
      <c r="Z102" s="49">
        <f t="shared" si="17"/>
        <v>0</v>
      </c>
    </row>
    <row r="103" spans="1:26" ht="36">
      <c r="A103" s="26"/>
      <c r="B103" s="64"/>
      <c r="C103" s="56" t="s">
        <v>109</v>
      </c>
      <c r="D103" s="17">
        <f t="shared" si="15"/>
        <v>8567000</v>
      </c>
      <c r="E103" s="21"/>
      <c r="F103" s="57">
        <f t="shared" si="16"/>
        <v>8567000</v>
      </c>
      <c r="G103" s="57">
        <v>8567000</v>
      </c>
      <c r="H103" s="58">
        <f>15646</f>
        <v>15646</v>
      </c>
      <c r="I103" s="17">
        <f t="shared" si="20"/>
        <v>0.18263102603011558</v>
      </c>
      <c r="J103" s="52">
        <f t="shared" si="18"/>
        <v>5.063430420711974</v>
      </c>
      <c r="L103" s="46">
        <f t="shared" si="19"/>
        <v>293354</v>
      </c>
      <c r="M103" s="67"/>
      <c r="N103" s="67"/>
      <c r="O103" s="67"/>
      <c r="P103" s="67"/>
      <c r="Q103" s="67">
        <f>2400000-1400000-591000-100000</f>
        <v>309000</v>
      </c>
      <c r="R103" s="67">
        <f>2400000-2000000-400000</f>
        <v>0</v>
      </c>
      <c r="S103" s="67"/>
      <c r="T103" s="67"/>
      <c r="U103" s="67"/>
      <c r="V103" s="67">
        <f>991000+100000</f>
        <v>1091000</v>
      </c>
      <c r="W103" s="67">
        <f>1767000+1400000</f>
        <v>3167000</v>
      </c>
      <c r="X103" s="67">
        <f>2000000+2000000</f>
        <v>4000000</v>
      </c>
      <c r="Y103" s="46">
        <f t="shared" si="13"/>
        <v>8567000</v>
      </c>
      <c r="Z103" s="49">
        <f t="shared" si="17"/>
        <v>0</v>
      </c>
    </row>
    <row r="104" spans="1:26" ht="36">
      <c r="A104" s="26"/>
      <c r="B104" s="64"/>
      <c r="C104" s="56" t="s">
        <v>110</v>
      </c>
      <c r="D104" s="17">
        <f t="shared" si="15"/>
        <v>3033744</v>
      </c>
      <c r="E104" s="21"/>
      <c r="F104" s="57">
        <f t="shared" si="16"/>
        <v>3033744</v>
      </c>
      <c r="G104" s="58">
        <f>6033744-3000000</f>
        <v>3033744</v>
      </c>
      <c r="H104" s="58">
        <f>10927+531193.2+6146.73</f>
        <v>548266.9299999999</v>
      </c>
      <c r="I104" s="17">
        <f t="shared" si="20"/>
        <v>18.072287246385983</v>
      </c>
      <c r="J104" s="52">
        <f t="shared" si="18"/>
        <v>39.16192357142857</v>
      </c>
      <c r="L104" s="46">
        <f t="shared" si="19"/>
        <v>851733.0700000001</v>
      </c>
      <c r="M104" s="67"/>
      <c r="N104" s="67"/>
      <c r="O104" s="67"/>
      <c r="P104" s="77">
        <f>2000000-1000000</f>
        <v>1000000</v>
      </c>
      <c r="Q104" s="77">
        <f>1900000-1500000</f>
        <v>400000</v>
      </c>
      <c r="R104" s="77"/>
      <c r="S104" s="77"/>
      <c r="T104" s="77"/>
      <c r="U104" s="77"/>
      <c r="V104" s="77">
        <f>1000000-1000000</f>
        <v>0</v>
      </c>
      <c r="W104" s="77">
        <f>1133744+1500000-2000000</f>
        <v>633744</v>
      </c>
      <c r="X104" s="77">
        <v>1000000</v>
      </c>
      <c r="Y104" s="46">
        <f t="shared" si="13"/>
        <v>3033744</v>
      </c>
      <c r="Z104" s="49">
        <f t="shared" si="17"/>
        <v>0</v>
      </c>
    </row>
    <row r="105" spans="1:26" ht="36">
      <c r="A105" s="26"/>
      <c r="B105" s="64"/>
      <c r="C105" s="56" t="s">
        <v>111</v>
      </c>
      <c r="D105" s="17">
        <f t="shared" si="15"/>
        <v>10100000</v>
      </c>
      <c r="E105" s="21"/>
      <c r="F105" s="57">
        <f t="shared" si="16"/>
        <v>10100000</v>
      </c>
      <c r="G105" s="65">
        <f>100000+10000000</f>
        <v>10100000</v>
      </c>
      <c r="H105" s="58"/>
      <c r="I105" s="39">
        <f t="shared" si="20"/>
        <v>0</v>
      </c>
      <c r="J105" s="52">
        <f t="shared" si="18"/>
        <v>0</v>
      </c>
      <c r="L105" s="46">
        <f t="shared" si="19"/>
        <v>100000</v>
      </c>
      <c r="M105" s="67"/>
      <c r="N105" s="67"/>
      <c r="O105" s="67"/>
      <c r="P105" s="77">
        <v>70000</v>
      </c>
      <c r="Q105" s="77">
        <v>30000</v>
      </c>
      <c r="R105" s="77"/>
      <c r="S105" s="77">
        <f>100000</f>
        <v>100000</v>
      </c>
      <c r="T105" s="77">
        <f>600000</f>
        <v>600000</v>
      </c>
      <c r="U105" s="77">
        <f>600000</f>
        <v>600000</v>
      </c>
      <c r="V105" s="77">
        <f>4000000</f>
        <v>4000000</v>
      </c>
      <c r="W105" s="77">
        <f>4300000</f>
        <v>4300000</v>
      </c>
      <c r="X105" s="77">
        <v>400000</v>
      </c>
      <c r="Y105" s="46">
        <f t="shared" si="13"/>
        <v>10100000</v>
      </c>
      <c r="Z105" s="49">
        <f t="shared" si="17"/>
        <v>0</v>
      </c>
    </row>
    <row r="106" spans="1:26" ht="18">
      <c r="A106" s="63"/>
      <c r="B106" s="18"/>
      <c r="C106" s="56" t="s">
        <v>112</v>
      </c>
      <c r="D106" s="17">
        <f t="shared" si="15"/>
        <v>507975</v>
      </c>
      <c r="E106" s="21"/>
      <c r="F106" s="57">
        <f t="shared" si="16"/>
        <v>507975</v>
      </c>
      <c r="G106" s="65">
        <f>5000000-1936125-1185900-30000-1340000</f>
        <v>507975</v>
      </c>
      <c r="H106" s="13"/>
      <c r="I106" s="39">
        <f t="shared" si="20"/>
        <v>0</v>
      </c>
      <c r="J106" s="52">
        <f t="shared" si="18"/>
        <v>0</v>
      </c>
      <c r="L106" s="46">
        <f t="shared" si="19"/>
        <v>70000</v>
      </c>
      <c r="M106" s="67"/>
      <c r="N106" s="67"/>
      <c r="O106" s="67"/>
      <c r="P106" s="78"/>
      <c r="Q106" s="78"/>
      <c r="R106" s="78">
        <f>900000-800000-30000</f>
        <v>70000</v>
      </c>
      <c r="S106" s="78">
        <f>400000-100000</f>
        <v>300000</v>
      </c>
      <c r="T106" s="78"/>
      <c r="U106" s="78">
        <f>450000-400000</f>
        <v>50000</v>
      </c>
      <c r="V106" s="78">
        <f>120000-100000</f>
        <v>20000</v>
      </c>
      <c r="W106" s="78">
        <v>7975</v>
      </c>
      <c r="X106" s="78">
        <f>800000-740000</f>
        <v>60000</v>
      </c>
      <c r="Y106" s="46">
        <f t="shared" si="13"/>
        <v>507975</v>
      </c>
      <c r="Z106" s="49">
        <f t="shared" si="17"/>
        <v>0</v>
      </c>
    </row>
    <row r="107" spans="1:26" ht="18">
      <c r="A107" s="22"/>
      <c r="B107" s="6"/>
      <c r="C107" s="23" t="s">
        <v>13</v>
      </c>
      <c r="D107" s="8">
        <f>D11+D80</f>
        <v>224916878.62</v>
      </c>
      <c r="E107" s="8">
        <f>E11+E80</f>
        <v>54847147.29</v>
      </c>
      <c r="F107" s="8">
        <f>F11+F80</f>
        <v>170069731.32999998</v>
      </c>
      <c r="G107" s="8">
        <f>G11+G80</f>
        <v>170069731.32999998</v>
      </c>
      <c r="H107" s="8">
        <f>H11+H80</f>
        <v>68396076.23</v>
      </c>
      <c r="I107" s="8">
        <f t="shared" si="20"/>
        <v>30.409490230191246</v>
      </c>
      <c r="J107" s="8">
        <f t="shared" si="18"/>
        <v>73.45996337668112</v>
      </c>
      <c r="L107" s="51">
        <f t="shared" si="19"/>
        <v>24710526.450000003</v>
      </c>
      <c r="M107" s="51">
        <f>M80+M29+M11</f>
        <v>3250000</v>
      </c>
      <c r="N107" s="51">
        <f aca="true" t="shared" si="21" ref="N107:X107">N80+N29+N11</f>
        <v>3932800</v>
      </c>
      <c r="O107" s="51">
        <f t="shared" si="21"/>
        <v>13631274.91</v>
      </c>
      <c r="P107" s="51">
        <f t="shared" si="21"/>
        <v>35841428.25</v>
      </c>
      <c r="Q107" s="51">
        <f t="shared" si="21"/>
        <v>17849489.89</v>
      </c>
      <c r="R107" s="51">
        <f t="shared" si="21"/>
        <v>18601609.630000003</v>
      </c>
      <c r="S107" s="51">
        <f t="shared" si="21"/>
        <v>29038557.840000004</v>
      </c>
      <c r="T107" s="51">
        <f t="shared" si="21"/>
        <v>23116862.909999996</v>
      </c>
      <c r="U107" s="51">
        <f t="shared" si="21"/>
        <v>20561283.15</v>
      </c>
      <c r="V107" s="51">
        <f t="shared" si="21"/>
        <v>18303907.950000003</v>
      </c>
      <c r="W107" s="51">
        <f t="shared" si="21"/>
        <v>21622468.119999997</v>
      </c>
      <c r="X107" s="51">
        <f t="shared" si="21"/>
        <v>19167195.97</v>
      </c>
      <c r="Y107" s="46">
        <f t="shared" si="13"/>
        <v>224916878.62000003</v>
      </c>
      <c r="Z107" s="49">
        <f>Y107-D107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79:G79"/>
    <mergeCell ref="F7:F8"/>
    <mergeCell ref="J12:J18"/>
    <mergeCell ref="J21:J2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2018-04-10T13:08:35Z</cp:lastPrinted>
  <dcterms:created xsi:type="dcterms:W3CDTF">2014-01-17T10:52:16Z</dcterms:created>
  <dcterms:modified xsi:type="dcterms:W3CDTF">2018-06-20T14:03:06Z</dcterms:modified>
  <cp:category/>
  <cp:version/>
  <cp:contentType/>
  <cp:contentStatus/>
</cp:coreProperties>
</file>